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>
    <definedName name="Excel_BuiltIn_Print_Area" localSheetId="0">'2023'!$A$1:$P$200</definedName>
    <definedName name="_xlnm.Print_Area" localSheetId="0">'2023'!$A$1:$P$200</definedName>
  </definedNames>
  <calcPr fullCalcOnLoad="1"/>
</workbook>
</file>

<file path=xl/sharedStrings.xml><?xml version="1.0" encoding="utf-8"?>
<sst xmlns="http://schemas.openxmlformats.org/spreadsheetml/2006/main" count="159" uniqueCount="99">
  <si>
    <t xml:space="preserve">Приложение № 4 к программе "Развитие образования </t>
  </si>
  <si>
    <t>4.  Мероприятия муниципальной подпрограммы</t>
  </si>
  <si>
    <t>№</t>
  </si>
  <si>
    <t>Наименование мероприятия</t>
  </si>
  <si>
    <t>Срок  исполне-ния</t>
  </si>
  <si>
    <t>Объём финансирования (тыс.руб.)</t>
  </si>
  <si>
    <t>в том числе за счёт средств</t>
  </si>
  <si>
    <t>В том числе:</t>
  </si>
  <si>
    <t>Внебюджетные средства</t>
  </si>
  <si>
    <t>Исполнители -ответственные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</si>
  <si>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</si>
  <si>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</si>
  <si>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</si>
  <si>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</si>
  <si>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</si>
  <si>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</si>
  <si>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</si>
  <si>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субсидий и иных межбюджетных трансфертов</t>
  </si>
  <si>
    <t>Из фед.-го бюджета</t>
  </si>
  <si>
    <t>Из областного бюджета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</si>
  <si>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</si>
  <si>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</si>
  <si>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Задача:  Организация отдыха и оздоровления детей и подростков с дневным пребываанием</t>
  </si>
  <si>
    <t>1.1.</t>
  </si>
  <si>
    <t xml:space="preserve">Организация отдыха и оздоровления детей в лагерях с дневным пребыванием детей    </t>
  </si>
  <si>
    <t>МБОУ ДО ЦВР "Лад"</t>
  </si>
  <si>
    <t>МБОУ ЦВР "Лад"</t>
  </si>
  <si>
    <t>1.2.</t>
  </si>
  <si>
    <t>Организация  культурно-экскурсионномго обслуживания в каникулярный период .</t>
  </si>
  <si>
    <t>Итого по разделу 1:</t>
  </si>
  <si>
    <t>2. Участие в областных профильных сменах. Организация санаторно-курортного оздоровления.</t>
  </si>
  <si>
    <t xml:space="preserve">Цель: Организация отдыха и оздоровления детей, оказавшихся в трудной жизненной ситуации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</si>
  <si>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</si>
  <si>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2.1.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</si>
  <si>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</si>
  <si>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МКУ "Комитет по культуре и спорту" (отдел по молодежной политике и вопросам демографии)</t>
  </si>
  <si>
    <t>2.2.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</si>
  <si>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</si>
  <si>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Управление образования (ЦВР)</t>
  </si>
  <si>
    <t>2.3.</t>
  </si>
  <si>
    <t xml:space="preserve">Обеспечение пожарной безопасности </t>
  </si>
  <si>
    <t>Итого по разделу2:</t>
  </si>
  <si>
    <t>3. Организация отдыха детей в загородном лагере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</si>
  <si>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</si>
  <si>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</si>
  <si>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>3.1.</t>
  </si>
  <si>
    <t>Расходы на обеспечение деятельности (оказания услуг) детского оздоровительного  лагеря "Лесной городок"</t>
  </si>
  <si>
    <t>ФОТ  ЦВР "Лад"-Гагар.</t>
  </si>
  <si>
    <t>содерж  ЦВР "Лад"-Гаг</t>
  </si>
  <si>
    <t>ФОТ  ЦВР "Лад"- Гаг</t>
  </si>
  <si>
    <t>содерж  ЦВР "Лад"- Гаг</t>
  </si>
  <si>
    <t>3.2</t>
  </si>
  <si>
    <t>Расходы на проведение оздоровительной кампании
(путевка)</t>
  </si>
  <si>
    <t>Упр-е обр. - дол "Хрусталек"</t>
  </si>
  <si>
    <t>Содерж  ЦВР -дол (пут)</t>
  </si>
  <si>
    <t>ФОТ  ЦВР -дол (пут-ка)</t>
  </si>
  <si>
    <t xml:space="preserve"> ЦВР "Лад"- дол (пут.)</t>
  </si>
  <si>
    <t>Содерж ДОЛ -путевка</t>
  </si>
  <si>
    <t xml:space="preserve"> ЦВР "Лад"- дол пут</t>
  </si>
  <si>
    <t>3.3.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</si>
  <si>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</si>
  <si>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</si>
  <si>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3.4.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</si>
  <si>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</si>
  <si>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МКУ "ГКМХ"</t>
  </si>
  <si>
    <t>ЦВР "Лад"- заг лаг (рем АПС)</t>
  </si>
  <si>
    <t>ЦВР - дол рем. Санпав.</t>
  </si>
  <si>
    <t>Ремонт актового зала корпуса №10, ремонт рекреации 3 этажа корпуса №10 ЦВР "Лад"-ДОЛ</t>
  </si>
  <si>
    <t>Ремонт центрального входа корпуса №10 ЦВР "Лад"-ДОЛ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</si>
  <si>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</si>
  <si>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</si>
  <si>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3.6.</t>
  </si>
  <si>
    <t>Разработка кадастровой карты-плана для саниторный охраны участка подземного водозабора</t>
  </si>
  <si>
    <t>ЦВР "Лад"- заг. лагерь</t>
  </si>
  <si>
    <t>3.7.</t>
  </si>
  <si>
    <t xml:space="preserve">ЦВР "Лад" -ДОЛ </t>
  </si>
  <si>
    <t>3.8.</t>
  </si>
  <si>
    <t>Разработка проектной документации на демонтаж павильонов</t>
  </si>
  <si>
    <t>3.9.</t>
  </si>
  <si>
    <t>ЦВР "Лад" - заг. Лагерь</t>
  </si>
  <si>
    <t>3.10.</t>
  </si>
  <si>
    <t xml:space="preserve">Частичная компенсация стоимости путевок в загородные оздоровительные организации для детей школьного возраста до 17 лет(включительно), проживающих на территории Владимирской области  </t>
  </si>
  <si>
    <t>Управление образования</t>
  </si>
  <si>
    <t>Итого по разделу 3:</t>
  </si>
  <si>
    <t>Итого по подпрограмме 3:</t>
  </si>
  <si>
    <t>МБОУ СОШ № 1</t>
  </si>
  <si>
    <t>МБОУ СОШ № 2</t>
  </si>
  <si>
    <t>Подготовка ДОЛ к летнему периоду (к летней оздоровительной компании 2020 года)</t>
  </si>
  <si>
    <t xml:space="preserve">на территории ЗАТО г. Радужный Владимирской области" </t>
  </si>
  <si>
    <t>МБОУ  ДО ЦВР "Лад"</t>
  </si>
  <si>
    <t>МБОУ ДО ЦВР "Лад"- загородный лагерь</t>
  </si>
  <si>
    <t>Удовлетворенность потребности населения в санаторно-курортном оздоровлении детей  до 14 лет включительно: 2018 г. - 100% ; 2019 г. - 100%; 2020г. -100%, 2021 год - 100%, 2022г. -100%, 2023 год - 100%, 2024 год -100%, 2025-100%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</si>
  <si>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-100%, 2021 год - 100%, 2022г. -100%, 2023 год - 100%, 2024-100%,2025 год- 100%</t>
  </si>
  <si>
    <t>2019-2025</t>
  </si>
  <si>
    <t>2017-2025г.г.</t>
  </si>
  <si>
    <t>ремонтные работы с целью приведения в соответствите с требованиями СанПиН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</si>
  <si>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,  2021-48% , 2022-48% , 2023-48% , 2024-48%, 2025-48%                       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</si>
  <si>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-30%, 2021 г. -30%, 2022 г. -30%, 2023 г. -30%, 2024 -30%, 2025- 30%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</si>
  <si>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2020 г. -18% , 2020 г. -18%, 2021г. -13%, 2022 год - 13%, 2023г. -13%, 2024-13%, 2025-13%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</si>
</sst>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0.00000"/>
    <numFmt numFmtId="167" formatCode="_-* #,##0.00&quot;р.&quot;_-;\-* #,##0.00&quot;р.&quot;_-;_-* \-??&quot;р.&quot;_-;_-@_-"/>
  </numFmts>
  <fonts count="4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65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wrapText="1"/>
    </xf>
    <xf numFmtId="166" fontId="5" fillId="0" borderId="11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vertical="top" wrapText="1"/>
    </xf>
    <xf numFmtId="165" fontId="5" fillId="0" borderId="11" xfId="0" applyNumberFormat="1" applyFont="1" applyFill="1" applyBorder="1" applyAlignment="1">
      <alignment vertical="top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165" fontId="5" fillId="0" borderId="11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166" fontId="0" fillId="0" borderId="0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166" fontId="9" fillId="0" borderId="27" xfId="0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0" fontId="0" fillId="0" borderId="30" xfId="0" applyFill="1" applyBorder="1" applyAlignment="1">
      <alignment/>
    </xf>
    <xf numFmtId="0" fontId="9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49" fontId="9" fillId="0" borderId="23" xfId="42" applyNumberFormat="1" applyFont="1" applyFill="1" applyBorder="1" applyAlignment="1" applyProtection="1">
      <alignment horizontal="center" vertical="top" wrapText="1"/>
      <protection/>
    </xf>
    <xf numFmtId="49" fontId="9" fillId="0" borderId="24" xfId="42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9" fontId="9" fillId="0" borderId="23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FEC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view="pageBreakPreview" zoomScale="85" zoomScaleSheetLayoutView="85" zoomScalePageLayoutView="0" workbookViewId="0" topLeftCell="A1">
      <selection activeCell="U22" sqref="U22"/>
    </sheetView>
  </sheetViews>
  <sheetFormatPr defaultColWidth="9.00390625" defaultRowHeight="12.75"/>
  <cols>
    <col min="1" max="1" width="6.125" style="1" customWidth="1"/>
    <col min="2" max="2" width="42.125" style="1" customWidth="1"/>
    <col min="3" max="3" width="20.375" style="1" customWidth="1"/>
    <col min="4" max="4" width="12.375" style="1" hidden="1" customWidth="1"/>
    <col min="5" max="5" width="20.875" style="1" customWidth="1"/>
    <col min="6" max="6" width="1.875" style="1" hidden="1" customWidth="1"/>
    <col min="7" max="7" width="12.875" style="1" customWidth="1"/>
    <col min="8" max="8" width="15.375" style="1" customWidth="1"/>
    <col min="9" max="9" width="14.625" style="1" customWidth="1"/>
    <col min="10" max="10" width="18.25390625" style="1" customWidth="1"/>
    <col min="11" max="11" width="9.125" style="1" hidden="1" customWidth="1"/>
    <col min="12" max="12" width="18.125" style="1" customWidth="1"/>
    <col min="13" max="13" width="9.125" style="1" hidden="1" customWidth="1"/>
    <col min="14" max="14" width="17.375" style="1" customWidth="1"/>
    <col min="15" max="15" width="26.375" style="1" customWidth="1"/>
    <col min="16" max="16" width="38.875" style="1" customWidth="1"/>
    <col min="17" max="17" width="12.75390625" style="70" customWidth="1"/>
    <col min="18" max="19" width="9.125" style="1" customWidth="1"/>
    <col min="20" max="20" width="4.375" style="1" customWidth="1"/>
    <col min="21" max="16384" width="9.125" style="1" customWidth="1"/>
  </cols>
  <sheetData>
    <row r="1" spans="1:17" ht="16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168" t="s">
        <v>0</v>
      </c>
      <c r="O1" s="168"/>
      <c r="P1" s="168"/>
      <c r="Q1" s="71"/>
    </row>
    <row r="2" spans="1:17" ht="16.5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68" t="s">
        <v>88</v>
      </c>
      <c r="M2" s="168"/>
      <c r="N2" s="168"/>
      <c r="O2" s="168"/>
      <c r="P2" s="168"/>
      <c r="Q2" s="71"/>
    </row>
    <row r="3" spans="1:17" ht="18.75" customHeight="1">
      <c r="A3" s="6"/>
      <c r="B3" s="7"/>
      <c r="C3" s="8"/>
      <c r="D3" s="8"/>
      <c r="E3" s="9"/>
      <c r="F3" s="8"/>
      <c r="G3" s="8" t="s">
        <v>1</v>
      </c>
      <c r="H3" s="8"/>
      <c r="I3" s="8"/>
      <c r="J3" s="8"/>
      <c r="K3" s="8"/>
      <c r="L3" s="8"/>
      <c r="M3" s="8"/>
      <c r="N3" s="8"/>
      <c r="O3" s="7"/>
      <c r="P3" s="10"/>
      <c r="Q3" s="72"/>
    </row>
    <row r="4" spans="1:17" ht="15" customHeight="1">
      <c r="A4" s="161" t="s">
        <v>2</v>
      </c>
      <c r="B4" s="162" t="s">
        <v>3</v>
      </c>
      <c r="C4" s="162" t="s">
        <v>4</v>
      </c>
      <c r="D4" s="162" t="s">
        <v>5</v>
      </c>
      <c r="E4" s="162"/>
      <c r="F4" s="11" t="s">
        <v>6</v>
      </c>
      <c r="G4" s="163" t="s">
        <v>7</v>
      </c>
      <c r="H4" s="163"/>
      <c r="I4" s="163"/>
      <c r="J4" s="163"/>
      <c r="K4" s="163"/>
      <c r="L4" s="163"/>
      <c r="M4" s="164" t="s">
        <v>8</v>
      </c>
      <c r="N4" s="164"/>
      <c r="O4" s="162" t="s">
        <v>9</v>
      </c>
      <c r="P4" s="167" t="s">
        <v>10</v>
      </c>
      <c r="Q4" s="73"/>
    </row>
    <row r="5" spans="1:17" ht="15" customHeight="1">
      <c r="A5" s="161"/>
      <c r="B5" s="162"/>
      <c r="C5" s="162"/>
      <c r="D5" s="162"/>
      <c r="E5" s="162"/>
      <c r="F5" s="12"/>
      <c r="G5" s="165" t="s">
        <v>11</v>
      </c>
      <c r="H5" s="160" t="s">
        <v>12</v>
      </c>
      <c r="I5" s="160"/>
      <c r="J5" s="160"/>
      <c r="K5" s="160"/>
      <c r="L5" s="160"/>
      <c r="M5" s="164"/>
      <c r="N5" s="164"/>
      <c r="O5" s="162"/>
      <c r="P5" s="167"/>
      <c r="Q5" s="73"/>
    </row>
    <row r="6" spans="1:17" ht="30" customHeight="1">
      <c r="A6" s="161"/>
      <c r="B6" s="162"/>
      <c r="C6" s="162"/>
      <c r="D6" s="162"/>
      <c r="E6" s="162"/>
      <c r="F6" s="12"/>
      <c r="G6" s="165"/>
      <c r="H6" s="166" t="s">
        <v>13</v>
      </c>
      <c r="I6" s="166"/>
      <c r="J6" s="166"/>
      <c r="K6" s="165" t="s">
        <v>14</v>
      </c>
      <c r="L6" s="165"/>
      <c r="M6" s="164"/>
      <c r="N6" s="164"/>
      <c r="O6" s="162"/>
      <c r="P6" s="167"/>
      <c r="Q6" s="73"/>
    </row>
    <row r="7" spans="1:17" ht="15" customHeight="1">
      <c r="A7" s="161"/>
      <c r="B7" s="162"/>
      <c r="C7" s="162"/>
      <c r="D7" s="162"/>
      <c r="E7" s="162"/>
      <c r="F7" s="12"/>
      <c r="G7" s="165"/>
      <c r="H7" s="159" t="s">
        <v>15</v>
      </c>
      <c r="I7" s="160" t="s">
        <v>16</v>
      </c>
      <c r="J7" s="160"/>
      <c r="K7" s="165"/>
      <c r="L7" s="165"/>
      <c r="M7" s="164"/>
      <c r="N7" s="164"/>
      <c r="O7" s="162"/>
      <c r="P7" s="167"/>
      <c r="Q7" s="73"/>
    </row>
    <row r="8" spans="1:17" ht="30" customHeight="1">
      <c r="A8" s="161"/>
      <c r="B8" s="162"/>
      <c r="C8" s="162"/>
      <c r="D8" s="162"/>
      <c r="E8" s="162"/>
      <c r="F8" s="12" t="s">
        <v>17</v>
      </c>
      <c r="G8" s="165"/>
      <c r="H8" s="159"/>
      <c r="I8" s="13" t="s">
        <v>18</v>
      </c>
      <c r="J8" s="14" t="s">
        <v>19</v>
      </c>
      <c r="K8" s="165"/>
      <c r="L8" s="165"/>
      <c r="M8" s="164"/>
      <c r="N8" s="164"/>
      <c r="O8" s="162"/>
      <c r="P8" s="167"/>
      <c r="Q8" s="73"/>
    </row>
    <row r="9" spans="1:17" s="10" customFormat="1" ht="15.75" customHeight="1">
      <c r="A9" s="15">
        <v>1</v>
      </c>
      <c r="B9" s="16">
        <v>2</v>
      </c>
      <c r="C9" s="16">
        <v>3</v>
      </c>
      <c r="D9" s="115">
        <v>4</v>
      </c>
      <c r="E9" s="115"/>
      <c r="F9" s="17">
        <v>5</v>
      </c>
      <c r="G9" s="16">
        <v>5</v>
      </c>
      <c r="H9" s="16">
        <v>6</v>
      </c>
      <c r="I9" s="16">
        <v>7</v>
      </c>
      <c r="J9" s="16">
        <v>8</v>
      </c>
      <c r="K9" s="115">
        <v>9</v>
      </c>
      <c r="L9" s="115"/>
      <c r="M9" s="115">
        <v>10</v>
      </c>
      <c r="N9" s="115"/>
      <c r="O9" s="16">
        <v>11</v>
      </c>
      <c r="P9" s="18">
        <v>12</v>
      </c>
      <c r="Q9" s="74"/>
    </row>
    <row r="10" spans="1:17" ht="24" customHeight="1">
      <c r="A10" s="143" t="s">
        <v>20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74"/>
    </row>
    <row r="11" spans="1:17" s="19" customFormat="1" ht="15.75" customHeight="1">
      <c r="A11" s="140" t="s">
        <v>21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75"/>
    </row>
    <row r="12" spans="1:17" s="19" customFormat="1" ht="16.5" customHeight="1">
      <c r="A12" s="140" t="s">
        <v>22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75"/>
    </row>
    <row r="13" spans="1:17" s="19" customFormat="1" ht="17.25" customHeight="1">
      <c r="A13" s="156" t="s">
        <v>23</v>
      </c>
      <c r="B13" s="124" t="s">
        <v>24</v>
      </c>
      <c r="C13" s="158">
        <v>2017</v>
      </c>
      <c r="D13" s="158"/>
      <c r="E13" s="153">
        <f>G13+J13+L13+N13</f>
        <v>821.482</v>
      </c>
      <c r="F13" s="153"/>
      <c r="G13" s="22"/>
      <c r="H13" s="22">
        <f>I13+J13</f>
        <v>355</v>
      </c>
      <c r="I13" s="22"/>
      <c r="J13" s="23">
        <v>355</v>
      </c>
      <c r="K13" s="23"/>
      <c r="L13" s="154">
        <v>341.482</v>
      </c>
      <c r="M13" s="154"/>
      <c r="N13" s="23">
        <v>125</v>
      </c>
      <c r="O13" s="24" t="s">
        <v>85</v>
      </c>
      <c r="P13" s="150" t="s">
        <v>96</v>
      </c>
      <c r="Q13" s="76"/>
    </row>
    <row r="14" spans="1:17" s="19" customFormat="1" ht="17.25" customHeight="1">
      <c r="A14" s="157"/>
      <c r="B14" s="124"/>
      <c r="C14" s="158"/>
      <c r="D14" s="158"/>
      <c r="E14" s="153"/>
      <c r="F14" s="153"/>
      <c r="G14" s="22"/>
      <c r="H14" s="22"/>
      <c r="I14" s="22"/>
      <c r="J14" s="23"/>
      <c r="K14" s="23"/>
      <c r="L14" s="154"/>
      <c r="M14" s="154"/>
      <c r="N14" s="23"/>
      <c r="O14" s="24" t="s">
        <v>86</v>
      </c>
      <c r="P14" s="150"/>
      <c r="Q14" s="76"/>
    </row>
    <row r="15" spans="1:17" s="19" customFormat="1" ht="17.25" customHeight="1">
      <c r="A15" s="157"/>
      <c r="B15" s="124"/>
      <c r="C15" s="158"/>
      <c r="D15" s="158"/>
      <c r="E15" s="153"/>
      <c r="F15" s="153"/>
      <c r="G15" s="22"/>
      <c r="H15" s="22"/>
      <c r="I15" s="22"/>
      <c r="J15" s="23"/>
      <c r="K15" s="23"/>
      <c r="L15" s="154"/>
      <c r="M15" s="154"/>
      <c r="N15" s="23"/>
      <c r="O15" s="24" t="s">
        <v>25</v>
      </c>
      <c r="P15" s="150"/>
      <c r="Q15" s="76"/>
    </row>
    <row r="16" spans="1:17" s="19" customFormat="1" ht="17.25" customHeight="1">
      <c r="A16" s="157"/>
      <c r="B16" s="124"/>
      <c r="C16" s="21">
        <v>2018</v>
      </c>
      <c r="D16" s="25"/>
      <c r="E16" s="22">
        <v>936.281</v>
      </c>
      <c r="F16" s="23"/>
      <c r="G16" s="23"/>
      <c r="H16" s="23">
        <f aca="true" t="shared" si="0" ref="H16:H30">I16+J16</f>
        <v>263</v>
      </c>
      <c r="I16" s="23"/>
      <c r="J16" s="23">
        <v>263</v>
      </c>
      <c r="K16" s="23"/>
      <c r="L16" s="23">
        <v>277.757</v>
      </c>
      <c r="M16" s="23"/>
      <c r="N16" s="23">
        <v>113</v>
      </c>
      <c r="O16" s="24" t="s">
        <v>85</v>
      </c>
      <c r="P16" s="150"/>
      <c r="Q16" s="76"/>
    </row>
    <row r="17" spans="1:17" s="19" customFormat="1" ht="18" customHeight="1">
      <c r="A17" s="157"/>
      <c r="B17" s="124"/>
      <c r="C17" s="26"/>
      <c r="D17" s="27"/>
      <c r="E17" s="23"/>
      <c r="F17" s="23"/>
      <c r="G17" s="23"/>
      <c r="H17" s="23">
        <f t="shared" si="0"/>
        <v>110</v>
      </c>
      <c r="I17" s="23"/>
      <c r="J17" s="23">
        <v>110</v>
      </c>
      <c r="K17" s="23"/>
      <c r="L17" s="23">
        <v>82.524</v>
      </c>
      <c r="M17" s="23"/>
      <c r="N17" s="23">
        <v>90</v>
      </c>
      <c r="O17" s="24" t="s">
        <v>86</v>
      </c>
      <c r="P17" s="150"/>
      <c r="Q17" s="76"/>
    </row>
    <row r="18" spans="1:17" s="19" customFormat="1" ht="18" customHeight="1">
      <c r="A18" s="157"/>
      <c r="B18" s="124"/>
      <c r="C18" s="26"/>
      <c r="D18" s="27"/>
      <c r="E18" s="23"/>
      <c r="F18" s="23"/>
      <c r="G18" s="23"/>
      <c r="H18" s="23">
        <f t="shared" si="0"/>
        <v>0</v>
      </c>
      <c r="I18" s="23"/>
      <c r="J18" s="23"/>
      <c r="K18" s="23"/>
      <c r="L18" s="154"/>
      <c r="M18" s="154"/>
      <c r="N18" s="23"/>
      <c r="O18" s="24" t="s">
        <v>26</v>
      </c>
      <c r="P18" s="150"/>
      <c r="Q18" s="76"/>
    </row>
    <row r="19" spans="1:17" s="19" customFormat="1" ht="18.75" customHeight="1">
      <c r="A19" s="157"/>
      <c r="B19" s="124"/>
      <c r="C19" s="21">
        <v>2019</v>
      </c>
      <c r="D19" s="25"/>
      <c r="E19" s="22">
        <f aca="true" t="shared" si="1" ref="E19:E30">G19+H19+L19+N19</f>
        <v>882.7570000000001</v>
      </c>
      <c r="F19" s="23"/>
      <c r="G19" s="22"/>
      <c r="H19" s="22">
        <f t="shared" si="0"/>
        <v>380</v>
      </c>
      <c r="I19" s="22"/>
      <c r="J19" s="22">
        <f>J20+J21</f>
        <v>380</v>
      </c>
      <c r="K19" s="22"/>
      <c r="L19" s="22">
        <v>377.757</v>
      </c>
      <c r="M19" s="22"/>
      <c r="N19" s="22">
        <f>N20+N21</f>
        <v>125</v>
      </c>
      <c r="O19" s="28"/>
      <c r="P19" s="150"/>
      <c r="Q19" s="76"/>
    </row>
    <row r="20" spans="1:17" s="19" customFormat="1" ht="19.5" customHeight="1">
      <c r="A20" s="157"/>
      <c r="B20" s="124"/>
      <c r="C20" s="26"/>
      <c r="D20" s="27"/>
      <c r="E20" s="22">
        <f t="shared" si="1"/>
        <v>581.172</v>
      </c>
      <c r="F20" s="23"/>
      <c r="G20" s="23"/>
      <c r="H20" s="23">
        <f t="shared" si="0"/>
        <v>260.96</v>
      </c>
      <c r="I20" s="23"/>
      <c r="J20" s="23">
        <v>260.96</v>
      </c>
      <c r="K20" s="23"/>
      <c r="L20" s="23">
        <f>253.212</f>
        <v>253.212</v>
      </c>
      <c r="M20" s="23"/>
      <c r="N20" s="23">
        <v>67</v>
      </c>
      <c r="O20" s="24" t="s">
        <v>85</v>
      </c>
      <c r="P20" s="150"/>
      <c r="Q20" s="76"/>
    </row>
    <row r="21" spans="1:17" s="19" customFormat="1" ht="24" customHeight="1">
      <c r="A21" s="157"/>
      <c r="B21" s="124"/>
      <c r="C21" s="26"/>
      <c r="D21" s="27"/>
      <c r="E21" s="22">
        <f t="shared" si="1"/>
        <v>301.58500000000004</v>
      </c>
      <c r="F21" s="23"/>
      <c r="G21" s="23"/>
      <c r="H21" s="23">
        <f t="shared" si="0"/>
        <v>119.04</v>
      </c>
      <c r="I21" s="23"/>
      <c r="J21" s="23">
        <v>119.04</v>
      </c>
      <c r="K21" s="23"/>
      <c r="L21" s="23">
        <v>124.545</v>
      </c>
      <c r="M21" s="23"/>
      <c r="N21" s="23">
        <v>58</v>
      </c>
      <c r="O21" s="24" t="s">
        <v>86</v>
      </c>
      <c r="P21" s="150"/>
      <c r="Q21" s="76"/>
    </row>
    <row r="22" spans="1:17" s="19" customFormat="1" ht="18" customHeight="1">
      <c r="A22" s="157"/>
      <c r="B22" s="124"/>
      <c r="C22" s="158">
        <v>2020</v>
      </c>
      <c r="D22" s="27"/>
      <c r="E22" s="22">
        <f t="shared" si="1"/>
        <v>609.7</v>
      </c>
      <c r="F22" s="22">
        <f>F23+F24</f>
        <v>0</v>
      </c>
      <c r="G22" s="22">
        <f>G23+G24</f>
        <v>0</v>
      </c>
      <c r="H22" s="22">
        <f t="shared" si="0"/>
        <v>436.1</v>
      </c>
      <c r="I22" s="22">
        <f aca="true" t="shared" si="2" ref="I22:N22">I23+I24</f>
        <v>0</v>
      </c>
      <c r="J22" s="22">
        <f t="shared" si="2"/>
        <v>436.1</v>
      </c>
      <c r="K22" s="22">
        <f t="shared" si="2"/>
        <v>0</v>
      </c>
      <c r="L22" s="22">
        <f t="shared" si="2"/>
        <v>173.60000000000002</v>
      </c>
      <c r="M22" s="22">
        <f t="shared" si="2"/>
        <v>0</v>
      </c>
      <c r="N22" s="22">
        <f t="shared" si="2"/>
        <v>0</v>
      </c>
      <c r="O22" s="29"/>
      <c r="P22" s="150"/>
      <c r="Q22" s="76"/>
    </row>
    <row r="23" spans="1:17" s="19" customFormat="1" ht="18" customHeight="1">
      <c r="A23" s="157"/>
      <c r="B23" s="124"/>
      <c r="C23" s="158"/>
      <c r="D23" s="27"/>
      <c r="E23" s="22">
        <f t="shared" si="1"/>
        <v>442.01</v>
      </c>
      <c r="F23" s="23"/>
      <c r="G23" s="23"/>
      <c r="H23" s="23">
        <f t="shared" si="0"/>
        <v>292.2</v>
      </c>
      <c r="I23" s="23"/>
      <c r="J23" s="23">
        <v>292.2</v>
      </c>
      <c r="K23" s="23"/>
      <c r="L23" s="23">
        <f>253.212+0.46-105.072+34.972-0.4-33.362</f>
        <v>149.81</v>
      </c>
      <c r="M23" s="23"/>
      <c r="N23" s="23"/>
      <c r="O23" s="24" t="s">
        <v>85</v>
      </c>
      <c r="P23" s="150"/>
      <c r="Q23" s="76"/>
    </row>
    <row r="24" spans="1:17" s="19" customFormat="1" ht="18" customHeight="1">
      <c r="A24" s="157"/>
      <c r="B24" s="124"/>
      <c r="C24" s="158"/>
      <c r="D24" s="27"/>
      <c r="E24" s="22">
        <f t="shared" si="1"/>
        <v>167.69</v>
      </c>
      <c r="F24" s="23"/>
      <c r="G24" s="23"/>
      <c r="H24" s="23">
        <f t="shared" si="0"/>
        <v>143.9</v>
      </c>
      <c r="I24" s="23"/>
      <c r="J24" s="23">
        <v>143.9</v>
      </c>
      <c r="K24" s="23"/>
      <c r="L24" s="23">
        <f>124.545-103.045+42.081-39.791</f>
        <v>23.790000000000006</v>
      </c>
      <c r="M24" s="23"/>
      <c r="N24" s="23"/>
      <c r="O24" s="24" t="s">
        <v>86</v>
      </c>
      <c r="P24" s="150"/>
      <c r="Q24" s="76"/>
    </row>
    <row r="25" spans="1:17" s="19" customFormat="1" ht="18" customHeight="1">
      <c r="A25" s="157"/>
      <c r="B25" s="124"/>
      <c r="C25" s="158">
        <v>2021</v>
      </c>
      <c r="D25" s="27"/>
      <c r="E25" s="22">
        <f t="shared" si="1"/>
        <v>1180.3725</v>
      </c>
      <c r="F25" s="22">
        <f>F26+F27</f>
        <v>0</v>
      </c>
      <c r="G25" s="22">
        <f>G26+G27</f>
        <v>0</v>
      </c>
      <c r="H25" s="22">
        <f t="shared" si="0"/>
        <v>699.53</v>
      </c>
      <c r="I25" s="22">
        <f aca="true" t="shared" si="3" ref="I25:N25">I26+I27</f>
        <v>0</v>
      </c>
      <c r="J25" s="22">
        <f t="shared" si="3"/>
        <v>699.53</v>
      </c>
      <c r="K25" s="22">
        <f t="shared" si="3"/>
        <v>0</v>
      </c>
      <c r="L25" s="22">
        <f t="shared" si="3"/>
        <v>480.8425</v>
      </c>
      <c r="M25" s="22">
        <f t="shared" si="3"/>
        <v>0</v>
      </c>
      <c r="N25" s="22">
        <f t="shared" si="3"/>
        <v>0</v>
      </c>
      <c r="O25" s="30"/>
      <c r="P25" s="150"/>
      <c r="Q25" s="76"/>
    </row>
    <row r="26" spans="1:17" s="19" customFormat="1" ht="18" customHeight="1">
      <c r="A26" s="157"/>
      <c r="B26" s="124"/>
      <c r="C26" s="158"/>
      <c r="D26" s="27"/>
      <c r="E26" s="22">
        <f t="shared" si="1"/>
        <v>783.96</v>
      </c>
      <c r="F26" s="23"/>
      <c r="G26" s="23"/>
      <c r="H26" s="23">
        <f t="shared" si="0"/>
        <v>463.2</v>
      </c>
      <c r="I26" s="23"/>
      <c r="J26" s="23">
        <v>463.2</v>
      </c>
      <c r="K26" s="23"/>
      <c r="L26" s="23">
        <f>69.21379+251.54621</f>
        <v>320.76</v>
      </c>
      <c r="M26" s="23"/>
      <c r="N26" s="23"/>
      <c r="O26" s="24" t="s">
        <v>85</v>
      </c>
      <c r="P26" s="150"/>
      <c r="Q26" s="76"/>
    </row>
    <row r="27" spans="1:17" s="19" customFormat="1" ht="18" customHeight="1">
      <c r="A27" s="157"/>
      <c r="B27" s="124"/>
      <c r="C27" s="158"/>
      <c r="D27" s="27"/>
      <c r="E27" s="22">
        <f t="shared" si="1"/>
        <v>396.4125</v>
      </c>
      <c r="F27" s="23"/>
      <c r="G27" s="23"/>
      <c r="H27" s="23">
        <f t="shared" si="0"/>
        <v>236.33</v>
      </c>
      <c r="I27" s="23"/>
      <c r="J27" s="23">
        <v>236.33</v>
      </c>
      <c r="K27" s="23"/>
      <c r="L27" s="23">
        <f>35.31365+124.76885</f>
        <v>160.0825</v>
      </c>
      <c r="M27" s="23"/>
      <c r="N27" s="23"/>
      <c r="O27" s="24" t="s">
        <v>86</v>
      </c>
      <c r="P27" s="150"/>
      <c r="Q27" s="76"/>
    </row>
    <row r="28" spans="1:17" s="19" customFormat="1" ht="18" customHeight="1">
      <c r="A28" s="157"/>
      <c r="B28" s="124"/>
      <c r="C28" s="158">
        <v>2022</v>
      </c>
      <c r="D28" s="27"/>
      <c r="E28" s="22">
        <f t="shared" si="1"/>
        <v>1374.9315</v>
      </c>
      <c r="F28" s="22">
        <f>F29+F30</f>
        <v>0</v>
      </c>
      <c r="G28" s="22">
        <f>G29+G30</f>
        <v>0</v>
      </c>
      <c r="H28" s="22">
        <f t="shared" si="0"/>
        <v>584.413</v>
      </c>
      <c r="I28" s="22">
        <f aca="true" t="shared" si="4" ref="I28:N28">I29+I30</f>
        <v>0</v>
      </c>
      <c r="J28" s="22">
        <f t="shared" si="4"/>
        <v>584.413</v>
      </c>
      <c r="K28" s="22">
        <f t="shared" si="4"/>
        <v>0</v>
      </c>
      <c r="L28" s="22">
        <f t="shared" si="4"/>
        <v>790.5184999999999</v>
      </c>
      <c r="M28" s="22">
        <f t="shared" si="4"/>
        <v>0</v>
      </c>
      <c r="N28" s="22">
        <f t="shared" si="4"/>
        <v>0</v>
      </c>
      <c r="O28" s="29"/>
      <c r="P28" s="150"/>
      <c r="Q28" s="76"/>
    </row>
    <row r="29" spans="1:17" s="19" customFormat="1" ht="18" customHeight="1">
      <c r="A29" s="157"/>
      <c r="B29" s="124"/>
      <c r="C29" s="158"/>
      <c r="D29" s="27"/>
      <c r="E29" s="22">
        <f t="shared" si="1"/>
        <v>996.871</v>
      </c>
      <c r="F29" s="23"/>
      <c r="G29" s="23"/>
      <c r="H29" s="23">
        <f t="shared" si="0"/>
        <v>370.139</v>
      </c>
      <c r="I29" s="23"/>
      <c r="J29" s="23">
        <v>370.139</v>
      </c>
      <c r="K29" s="23"/>
      <c r="L29" s="23">
        <v>626.732</v>
      </c>
      <c r="M29" s="23"/>
      <c r="N29" s="23">
        <v>0</v>
      </c>
      <c r="O29" s="24" t="s">
        <v>85</v>
      </c>
      <c r="P29" s="150"/>
      <c r="Q29" s="76"/>
    </row>
    <row r="30" spans="1:17" s="19" customFormat="1" ht="18" customHeight="1">
      <c r="A30" s="157"/>
      <c r="B30" s="124"/>
      <c r="C30" s="158"/>
      <c r="D30" s="27"/>
      <c r="E30" s="22">
        <f t="shared" si="1"/>
        <v>378.0605</v>
      </c>
      <c r="F30" s="23"/>
      <c r="G30" s="23"/>
      <c r="H30" s="23">
        <f t="shared" si="0"/>
        <v>214.274</v>
      </c>
      <c r="I30" s="23"/>
      <c r="J30" s="23">
        <v>214.274</v>
      </c>
      <c r="K30" s="23"/>
      <c r="L30" s="23">
        <v>163.7865</v>
      </c>
      <c r="M30" s="23"/>
      <c r="N30" s="23">
        <v>0</v>
      </c>
      <c r="O30" s="24" t="s">
        <v>86</v>
      </c>
      <c r="P30" s="150"/>
      <c r="Q30" s="76"/>
    </row>
    <row r="31" spans="1:17" s="19" customFormat="1" ht="18" customHeight="1">
      <c r="A31" s="157"/>
      <c r="B31" s="124"/>
      <c r="C31" s="158">
        <v>2023</v>
      </c>
      <c r="D31" s="27"/>
      <c r="E31" s="22">
        <f aca="true" t="shared" si="5" ref="E31:N31">E32+E33</f>
        <v>1014.1999999999999</v>
      </c>
      <c r="F31" s="22">
        <f t="shared" si="5"/>
        <v>0</v>
      </c>
      <c r="G31" s="22">
        <f t="shared" si="5"/>
        <v>0</v>
      </c>
      <c r="H31" s="22">
        <f t="shared" si="5"/>
        <v>623</v>
      </c>
      <c r="I31" s="22">
        <f t="shared" si="5"/>
        <v>0</v>
      </c>
      <c r="J31" s="22">
        <f t="shared" si="5"/>
        <v>623</v>
      </c>
      <c r="K31" s="22">
        <f t="shared" si="5"/>
        <v>0</v>
      </c>
      <c r="L31" s="22">
        <f t="shared" si="5"/>
        <v>391.20000000000005</v>
      </c>
      <c r="M31" s="22">
        <f t="shared" si="5"/>
        <v>0</v>
      </c>
      <c r="N31" s="22">
        <f t="shared" si="5"/>
        <v>0</v>
      </c>
      <c r="O31" s="31"/>
      <c r="P31" s="150"/>
      <c r="Q31" s="76"/>
    </row>
    <row r="32" spans="1:17" s="19" customFormat="1" ht="18" customHeight="1">
      <c r="A32" s="157"/>
      <c r="B32" s="124"/>
      <c r="C32" s="158"/>
      <c r="D32" s="27"/>
      <c r="E32" s="22">
        <f>G32+H32+L32+N32</f>
        <v>637.8</v>
      </c>
      <c r="F32" s="23"/>
      <c r="G32" s="23"/>
      <c r="H32" s="23">
        <f>I32+J32</f>
        <v>403</v>
      </c>
      <c r="I32" s="23"/>
      <c r="J32" s="23">
        <v>403</v>
      </c>
      <c r="K32" s="23"/>
      <c r="L32" s="23">
        <f>60.2+174.6</f>
        <v>234.8</v>
      </c>
      <c r="M32" s="23"/>
      <c r="N32" s="23"/>
      <c r="O32" s="24" t="s">
        <v>85</v>
      </c>
      <c r="P32" s="150"/>
      <c r="Q32" s="76"/>
    </row>
    <row r="33" spans="1:17" s="19" customFormat="1" ht="18" customHeight="1">
      <c r="A33" s="157"/>
      <c r="B33" s="124"/>
      <c r="C33" s="158"/>
      <c r="D33" s="27"/>
      <c r="E33" s="22">
        <f>G33+H33+L33+N33</f>
        <v>376.4</v>
      </c>
      <c r="F33" s="23"/>
      <c r="G33" s="23"/>
      <c r="H33" s="23">
        <f>I33+J33</f>
        <v>220</v>
      </c>
      <c r="I33" s="23"/>
      <c r="J33" s="23">
        <v>220</v>
      </c>
      <c r="K33" s="23"/>
      <c r="L33" s="23">
        <f>32.9+123.5</f>
        <v>156.4</v>
      </c>
      <c r="M33" s="23"/>
      <c r="N33" s="23"/>
      <c r="O33" s="24" t="s">
        <v>86</v>
      </c>
      <c r="P33" s="150"/>
      <c r="Q33" s="76"/>
    </row>
    <row r="34" spans="1:17" s="19" customFormat="1" ht="18" customHeight="1">
      <c r="A34" s="157"/>
      <c r="B34" s="124"/>
      <c r="C34" s="90">
        <v>2024</v>
      </c>
      <c r="D34" s="27"/>
      <c r="E34" s="22">
        <f>E35+E36</f>
        <v>620.65</v>
      </c>
      <c r="F34" s="23"/>
      <c r="G34" s="23"/>
      <c r="H34" s="22">
        <f>H35+H36</f>
        <v>547.2</v>
      </c>
      <c r="I34" s="22">
        <f>I35+I36</f>
        <v>0</v>
      </c>
      <c r="J34" s="22">
        <f>J35+J36</f>
        <v>547.2</v>
      </c>
      <c r="K34" s="22">
        <f>K35+K36</f>
        <v>0</v>
      </c>
      <c r="L34" s="22">
        <f>L35+L36</f>
        <v>73.45</v>
      </c>
      <c r="M34" s="23"/>
      <c r="N34" s="23"/>
      <c r="O34" s="24"/>
      <c r="P34" s="150"/>
      <c r="Q34" s="76"/>
    </row>
    <row r="35" spans="1:17" s="19" customFormat="1" ht="18" customHeight="1">
      <c r="A35" s="157"/>
      <c r="B35" s="124"/>
      <c r="C35" s="91"/>
      <c r="D35" s="27"/>
      <c r="E35" s="22">
        <f>G35+H35+L35+N35</f>
        <v>399.15</v>
      </c>
      <c r="F35" s="23"/>
      <c r="G35" s="23"/>
      <c r="H35" s="23">
        <f>I35+J35</f>
        <v>347.2</v>
      </c>
      <c r="I35" s="23"/>
      <c r="J35" s="23">
        <v>347.2</v>
      </c>
      <c r="K35" s="23"/>
      <c r="L35" s="23">
        <v>51.95</v>
      </c>
      <c r="M35" s="23"/>
      <c r="N35" s="23"/>
      <c r="O35" s="24" t="s">
        <v>85</v>
      </c>
      <c r="P35" s="150"/>
      <c r="Q35" s="76"/>
    </row>
    <row r="36" spans="1:17" s="19" customFormat="1" ht="18" customHeight="1">
      <c r="A36" s="157"/>
      <c r="B36" s="124"/>
      <c r="C36" s="92"/>
      <c r="D36" s="27"/>
      <c r="E36" s="22">
        <f>G36+H36+L36+N36</f>
        <v>221.5</v>
      </c>
      <c r="F36" s="23"/>
      <c r="G36" s="23"/>
      <c r="H36" s="23">
        <f>I36+J36</f>
        <v>200</v>
      </c>
      <c r="I36" s="23"/>
      <c r="J36" s="23">
        <v>200</v>
      </c>
      <c r="K36" s="23"/>
      <c r="L36" s="23">
        <v>21.5</v>
      </c>
      <c r="M36" s="23"/>
      <c r="N36" s="23"/>
      <c r="O36" s="24" t="s">
        <v>86</v>
      </c>
      <c r="P36" s="150"/>
      <c r="Q36" s="76"/>
    </row>
    <row r="37" spans="1:17" s="19" customFormat="1" ht="18" customHeight="1">
      <c r="A37" s="99"/>
      <c r="B37" s="124"/>
      <c r="C37" s="158">
        <v>2025</v>
      </c>
      <c r="D37" s="27"/>
      <c r="E37" s="22">
        <f aca="true" t="shared" si="6" ref="E37:N37">E38+E39</f>
        <v>620.65</v>
      </c>
      <c r="F37" s="22">
        <f t="shared" si="6"/>
        <v>0</v>
      </c>
      <c r="G37" s="22">
        <f t="shared" si="6"/>
        <v>0</v>
      </c>
      <c r="H37" s="22">
        <f t="shared" si="6"/>
        <v>547.2</v>
      </c>
      <c r="I37" s="22">
        <f t="shared" si="6"/>
        <v>0</v>
      </c>
      <c r="J37" s="22">
        <f t="shared" si="6"/>
        <v>547.2</v>
      </c>
      <c r="K37" s="22">
        <f t="shared" si="6"/>
        <v>0</v>
      </c>
      <c r="L37" s="22">
        <f t="shared" si="6"/>
        <v>73.45</v>
      </c>
      <c r="M37" s="22">
        <f t="shared" si="6"/>
        <v>0</v>
      </c>
      <c r="N37" s="22">
        <f t="shared" si="6"/>
        <v>0</v>
      </c>
      <c r="O37" s="31"/>
      <c r="P37" s="150"/>
      <c r="Q37" s="76"/>
    </row>
    <row r="38" spans="1:17" s="19" customFormat="1" ht="18" customHeight="1">
      <c r="A38" s="99"/>
      <c r="B38" s="124"/>
      <c r="C38" s="158"/>
      <c r="D38" s="27"/>
      <c r="E38" s="22">
        <f aca="true" t="shared" si="7" ref="E38:E54">G38+H38+L38+N38</f>
        <v>399.15</v>
      </c>
      <c r="F38" s="23"/>
      <c r="G38" s="23"/>
      <c r="H38" s="23">
        <f aca="true" t="shared" si="8" ref="H38:H50">I38+J38</f>
        <v>347.2</v>
      </c>
      <c r="I38" s="23"/>
      <c r="J38" s="23">
        <v>347.2</v>
      </c>
      <c r="K38" s="23"/>
      <c r="L38" s="23">
        <v>51.95</v>
      </c>
      <c r="M38" s="23"/>
      <c r="N38" s="23"/>
      <c r="O38" s="24" t="s">
        <v>85</v>
      </c>
      <c r="P38" s="150"/>
      <c r="Q38" s="76"/>
    </row>
    <row r="39" spans="1:17" s="19" customFormat="1" ht="18" customHeight="1">
      <c r="A39" s="100"/>
      <c r="B39" s="124"/>
      <c r="C39" s="158"/>
      <c r="D39" s="27"/>
      <c r="E39" s="22">
        <f t="shared" si="7"/>
        <v>221.5</v>
      </c>
      <c r="F39" s="23"/>
      <c r="G39" s="23"/>
      <c r="H39" s="23">
        <f t="shared" si="8"/>
        <v>200</v>
      </c>
      <c r="I39" s="23"/>
      <c r="J39" s="23">
        <v>200</v>
      </c>
      <c r="K39" s="23"/>
      <c r="L39" s="23">
        <v>21.5</v>
      </c>
      <c r="M39" s="23"/>
      <c r="N39" s="23"/>
      <c r="O39" s="24" t="s">
        <v>86</v>
      </c>
      <c r="P39" s="150"/>
      <c r="Q39" s="76"/>
    </row>
    <row r="40" spans="1:17" s="19" customFormat="1" ht="17.25" customHeight="1">
      <c r="A40" s="156" t="s">
        <v>27</v>
      </c>
      <c r="B40" s="93" t="s">
        <v>28</v>
      </c>
      <c r="C40" s="158">
        <v>2017</v>
      </c>
      <c r="D40" s="158"/>
      <c r="E40" s="153">
        <f t="shared" si="7"/>
        <v>642</v>
      </c>
      <c r="F40" s="153"/>
      <c r="G40" s="22"/>
      <c r="H40" s="23">
        <f t="shared" si="8"/>
        <v>642</v>
      </c>
      <c r="I40" s="22"/>
      <c r="J40" s="23">
        <v>642</v>
      </c>
      <c r="K40" s="23"/>
      <c r="L40" s="154"/>
      <c r="M40" s="154"/>
      <c r="N40" s="23"/>
      <c r="O40" s="132" t="s">
        <v>89</v>
      </c>
      <c r="P40" s="155" t="s">
        <v>97</v>
      </c>
      <c r="Q40" s="77"/>
    </row>
    <row r="41" spans="1:17" s="19" customFormat="1" ht="17.25" customHeight="1">
      <c r="A41" s="157"/>
      <c r="B41" s="94"/>
      <c r="C41" s="21">
        <v>2018</v>
      </c>
      <c r="D41" s="25"/>
      <c r="E41" s="22">
        <f t="shared" si="7"/>
        <v>642</v>
      </c>
      <c r="F41" s="23"/>
      <c r="G41" s="23"/>
      <c r="H41" s="23">
        <f t="shared" si="8"/>
        <v>642</v>
      </c>
      <c r="I41" s="23"/>
      <c r="J41" s="23">
        <v>642</v>
      </c>
      <c r="K41" s="23"/>
      <c r="L41" s="154"/>
      <c r="M41" s="154"/>
      <c r="N41" s="23"/>
      <c r="O41" s="132"/>
      <c r="P41" s="155"/>
      <c r="Q41" s="77"/>
    </row>
    <row r="42" spans="1:17" s="19" customFormat="1" ht="17.25" customHeight="1">
      <c r="A42" s="157"/>
      <c r="B42" s="94"/>
      <c r="C42" s="21">
        <v>2019</v>
      </c>
      <c r="D42" s="25"/>
      <c r="E42" s="22">
        <f t="shared" si="7"/>
        <v>717.081</v>
      </c>
      <c r="F42" s="22"/>
      <c r="G42" s="23"/>
      <c r="H42" s="23">
        <f t="shared" si="8"/>
        <v>717.081</v>
      </c>
      <c r="I42" s="23"/>
      <c r="J42" s="23">
        <v>717.081</v>
      </c>
      <c r="K42" s="23"/>
      <c r="L42" s="23"/>
      <c r="M42" s="23"/>
      <c r="N42" s="23"/>
      <c r="O42" s="132"/>
      <c r="P42" s="155"/>
      <c r="Q42" s="77"/>
    </row>
    <row r="43" spans="1:17" s="19" customFormat="1" ht="17.25" customHeight="1">
      <c r="A43" s="157"/>
      <c r="B43" s="94"/>
      <c r="C43" s="32">
        <v>2020</v>
      </c>
      <c r="D43" s="33"/>
      <c r="E43" s="22">
        <f t="shared" si="7"/>
        <v>699</v>
      </c>
      <c r="F43" s="23"/>
      <c r="G43" s="23"/>
      <c r="H43" s="23">
        <f t="shared" si="8"/>
        <v>699</v>
      </c>
      <c r="I43" s="23"/>
      <c r="J43" s="23">
        <f>800-101</f>
        <v>699</v>
      </c>
      <c r="K43" s="23"/>
      <c r="L43" s="23"/>
      <c r="M43" s="23"/>
      <c r="N43" s="23"/>
      <c r="O43" s="132"/>
      <c r="P43" s="155"/>
      <c r="Q43" s="77"/>
    </row>
    <row r="44" spans="1:17" s="19" customFormat="1" ht="17.25" customHeight="1">
      <c r="A44" s="157"/>
      <c r="B44" s="94"/>
      <c r="C44" s="32">
        <v>2021</v>
      </c>
      <c r="D44" s="33"/>
      <c r="E44" s="22">
        <f t="shared" si="7"/>
        <v>875.9</v>
      </c>
      <c r="F44" s="23"/>
      <c r="G44" s="23"/>
      <c r="H44" s="23">
        <f t="shared" si="8"/>
        <v>762</v>
      </c>
      <c r="I44" s="23"/>
      <c r="J44" s="23">
        <v>762</v>
      </c>
      <c r="K44" s="23"/>
      <c r="L44" s="23">
        <v>113.9</v>
      </c>
      <c r="M44" s="23"/>
      <c r="N44" s="23"/>
      <c r="O44" s="132"/>
      <c r="P44" s="155"/>
      <c r="Q44" s="77"/>
    </row>
    <row r="45" spans="1:17" s="19" customFormat="1" ht="17.25" customHeight="1">
      <c r="A45" s="157"/>
      <c r="B45" s="94"/>
      <c r="C45" s="32">
        <v>2022</v>
      </c>
      <c r="D45" s="33"/>
      <c r="E45" s="22">
        <f t="shared" si="7"/>
        <v>821.41</v>
      </c>
      <c r="F45" s="23"/>
      <c r="G45" s="23"/>
      <c r="H45" s="23">
        <f t="shared" si="8"/>
        <v>714.626</v>
      </c>
      <c r="I45" s="23"/>
      <c r="J45" s="23">
        <v>714.626</v>
      </c>
      <c r="K45" s="23"/>
      <c r="L45" s="23">
        <v>106.784</v>
      </c>
      <c r="M45" s="23"/>
      <c r="N45" s="23"/>
      <c r="O45" s="132"/>
      <c r="P45" s="155"/>
      <c r="Q45" s="77"/>
    </row>
    <row r="46" spans="1:17" s="19" customFormat="1" ht="36" customHeight="1">
      <c r="A46" s="157"/>
      <c r="B46" s="94"/>
      <c r="C46" s="32">
        <v>2023</v>
      </c>
      <c r="D46" s="33"/>
      <c r="E46" s="22">
        <f t="shared" si="7"/>
        <v>875.9</v>
      </c>
      <c r="F46" s="23"/>
      <c r="G46" s="23"/>
      <c r="H46" s="23">
        <f t="shared" si="8"/>
        <v>762</v>
      </c>
      <c r="I46" s="23"/>
      <c r="J46" s="23">
        <v>762</v>
      </c>
      <c r="K46" s="23"/>
      <c r="L46" s="23">
        <v>113.9</v>
      </c>
      <c r="M46" s="23"/>
      <c r="N46" s="23"/>
      <c r="O46" s="132"/>
      <c r="P46" s="155"/>
      <c r="Q46" s="77"/>
    </row>
    <row r="47" spans="1:17" s="19" customFormat="1" ht="36" customHeight="1">
      <c r="A47" s="157"/>
      <c r="B47" s="94"/>
      <c r="C47" s="32">
        <v>2024</v>
      </c>
      <c r="D47" s="33"/>
      <c r="E47" s="22">
        <f>G47+H47+L47+N47</f>
        <v>875.9</v>
      </c>
      <c r="F47" s="23"/>
      <c r="G47" s="23"/>
      <c r="H47" s="23">
        <f>I47+J47</f>
        <v>762</v>
      </c>
      <c r="I47" s="23"/>
      <c r="J47" s="23">
        <v>762</v>
      </c>
      <c r="K47" s="23"/>
      <c r="L47" s="23">
        <v>113.9</v>
      </c>
      <c r="M47" s="23"/>
      <c r="N47" s="23"/>
      <c r="O47" s="132"/>
      <c r="P47" s="155"/>
      <c r="Q47" s="77"/>
    </row>
    <row r="48" spans="1:17" s="19" customFormat="1" ht="31.5" customHeight="1">
      <c r="A48" s="100"/>
      <c r="B48" s="96"/>
      <c r="C48" s="32">
        <v>2025</v>
      </c>
      <c r="D48" s="33"/>
      <c r="E48" s="22">
        <f t="shared" si="7"/>
        <v>875.9</v>
      </c>
      <c r="F48" s="23"/>
      <c r="G48" s="23"/>
      <c r="H48" s="23">
        <f t="shared" si="8"/>
        <v>762</v>
      </c>
      <c r="I48" s="23"/>
      <c r="J48" s="23">
        <v>762</v>
      </c>
      <c r="K48" s="23"/>
      <c r="L48" s="23">
        <v>113.9</v>
      </c>
      <c r="M48" s="23"/>
      <c r="N48" s="23"/>
      <c r="O48" s="132"/>
      <c r="P48" s="155"/>
      <c r="Q48" s="77"/>
    </row>
    <row r="49" spans="1:17" s="19" customFormat="1" ht="17.25" customHeight="1">
      <c r="A49" s="88" t="s">
        <v>29</v>
      </c>
      <c r="B49" s="88"/>
      <c r="C49" s="21">
        <v>2017</v>
      </c>
      <c r="D49" s="21"/>
      <c r="E49" s="22">
        <f t="shared" si="7"/>
        <v>1463.482</v>
      </c>
      <c r="F49" s="22"/>
      <c r="G49" s="22"/>
      <c r="H49" s="22">
        <f t="shared" si="8"/>
        <v>997</v>
      </c>
      <c r="I49" s="22"/>
      <c r="J49" s="22">
        <f>J13+J40</f>
        <v>997</v>
      </c>
      <c r="K49" s="23"/>
      <c r="L49" s="22">
        <f>L13+L40</f>
        <v>341.482</v>
      </c>
      <c r="M49" s="23"/>
      <c r="N49" s="22">
        <f>N13+N40</f>
        <v>125</v>
      </c>
      <c r="O49" s="132"/>
      <c r="P49" s="142"/>
      <c r="Q49" s="78"/>
    </row>
    <row r="50" spans="1:17" s="19" customFormat="1" ht="16.5" customHeight="1">
      <c r="A50" s="88"/>
      <c r="B50" s="88"/>
      <c r="C50" s="21">
        <v>2018</v>
      </c>
      <c r="D50" s="21"/>
      <c r="E50" s="22">
        <f t="shared" si="7"/>
        <v>1578.281</v>
      </c>
      <c r="F50" s="22"/>
      <c r="G50" s="22"/>
      <c r="H50" s="22">
        <f t="shared" si="8"/>
        <v>1015</v>
      </c>
      <c r="I50" s="22"/>
      <c r="J50" s="22">
        <f>J16+J17+J41</f>
        <v>1015</v>
      </c>
      <c r="K50" s="23"/>
      <c r="L50" s="22">
        <f>L16+L17+L41</f>
        <v>360.281</v>
      </c>
      <c r="M50" s="23"/>
      <c r="N50" s="22">
        <f>N16+N17+N41</f>
        <v>203</v>
      </c>
      <c r="O50" s="132"/>
      <c r="P50" s="142"/>
      <c r="Q50" s="78"/>
    </row>
    <row r="51" spans="1:17" s="19" customFormat="1" ht="18" customHeight="1">
      <c r="A51" s="88"/>
      <c r="B51" s="88"/>
      <c r="C51" s="21">
        <v>2019</v>
      </c>
      <c r="D51" s="21"/>
      <c r="E51" s="22">
        <f t="shared" si="7"/>
        <v>1599.8380000000002</v>
      </c>
      <c r="F51" s="22">
        <f aca="true" t="shared" si="9" ref="F51:N51">F19+F42</f>
        <v>0</v>
      </c>
      <c r="G51" s="22">
        <f t="shared" si="9"/>
        <v>0</v>
      </c>
      <c r="H51" s="22">
        <f t="shared" si="9"/>
        <v>1097.0810000000001</v>
      </c>
      <c r="I51" s="22">
        <f t="shared" si="9"/>
        <v>0</v>
      </c>
      <c r="J51" s="22">
        <f t="shared" si="9"/>
        <v>1097.0810000000001</v>
      </c>
      <c r="K51" s="22">
        <f t="shared" si="9"/>
        <v>0</v>
      </c>
      <c r="L51" s="22">
        <f t="shared" si="9"/>
        <v>377.757</v>
      </c>
      <c r="M51" s="22">
        <f t="shared" si="9"/>
        <v>0</v>
      </c>
      <c r="N51" s="22">
        <f t="shared" si="9"/>
        <v>125</v>
      </c>
      <c r="O51" s="132"/>
      <c r="P51" s="142"/>
      <c r="Q51" s="78"/>
    </row>
    <row r="52" spans="1:17" s="19" customFormat="1" ht="18" customHeight="1">
      <c r="A52" s="88"/>
      <c r="B52" s="88"/>
      <c r="C52" s="21">
        <v>2020</v>
      </c>
      <c r="D52" s="21"/>
      <c r="E52" s="22">
        <f t="shared" si="7"/>
        <v>1308.6999999999998</v>
      </c>
      <c r="F52" s="22">
        <f aca="true" t="shared" si="10" ref="F52:N52">F22+F43</f>
        <v>0</v>
      </c>
      <c r="G52" s="22">
        <f t="shared" si="10"/>
        <v>0</v>
      </c>
      <c r="H52" s="22">
        <f t="shared" si="10"/>
        <v>1135.1</v>
      </c>
      <c r="I52" s="22">
        <f t="shared" si="10"/>
        <v>0</v>
      </c>
      <c r="J52" s="22">
        <f t="shared" si="10"/>
        <v>1135.1</v>
      </c>
      <c r="K52" s="22">
        <f t="shared" si="10"/>
        <v>0</v>
      </c>
      <c r="L52" s="22">
        <f t="shared" si="10"/>
        <v>173.60000000000002</v>
      </c>
      <c r="M52" s="22">
        <f t="shared" si="10"/>
        <v>0</v>
      </c>
      <c r="N52" s="22">
        <f t="shared" si="10"/>
        <v>0</v>
      </c>
      <c r="O52" s="24"/>
      <c r="P52" s="34"/>
      <c r="Q52" s="78"/>
    </row>
    <row r="53" spans="1:17" s="19" customFormat="1" ht="18" customHeight="1">
      <c r="A53" s="88"/>
      <c r="B53" s="88"/>
      <c r="C53" s="21">
        <v>2021</v>
      </c>
      <c r="D53" s="21"/>
      <c r="E53" s="22">
        <f t="shared" si="7"/>
        <v>2056.2725</v>
      </c>
      <c r="F53" s="22">
        <f aca="true" t="shared" si="11" ref="F53:M53">F25+F44</f>
        <v>0</v>
      </c>
      <c r="G53" s="22">
        <f t="shared" si="11"/>
        <v>0</v>
      </c>
      <c r="H53" s="22">
        <f t="shared" si="11"/>
        <v>1461.53</v>
      </c>
      <c r="I53" s="22">
        <f t="shared" si="11"/>
        <v>0</v>
      </c>
      <c r="J53" s="22">
        <f t="shared" si="11"/>
        <v>1461.53</v>
      </c>
      <c r="K53" s="22">
        <f t="shared" si="11"/>
        <v>0</v>
      </c>
      <c r="L53" s="22">
        <f t="shared" si="11"/>
        <v>594.7425</v>
      </c>
      <c r="M53" s="22">
        <f t="shared" si="11"/>
        <v>0</v>
      </c>
      <c r="N53" s="22">
        <v>0</v>
      </c>
      <c r="O53" s="24"/>
      <c r="P53" s="34"/>
      <c r="Q53" s="78"/>
    </row>
    <row r="54" spans="1:17" s="19" customFormat="1" ht="21.75" customHeight="1">
      <c r="A54" s="88"/>
      <c r="B54" s="88"/>
      <c r="C54" s="21">
        <v>2022</v>
      </c>
      <c r="D54" s="21"/>
      <c r="E54" s="57">
        <f t="shared" si="7"/>
        <v>2196.3415</v>
      </c>
      <c r="F54" s="57">
        <f aca="true" t="shared" si="12" ref="F54:M54">F28+F45</f>
        <v>0</v>
      </c>
      <c r="G54" s="57">
        <f t="shared" si="12"/>
        <v>0</v>
      </c>
      <c r="H54" s="57">
        <f t="shared" si="12"/>
        <v>1299.039</v>
      </c>
      <c r="I54" s="57">
        <f t="shared" si="12"/>
        <v>0</v>
      </c>
      <c r="J54" s="57">
        <f t="shared" si="12"/>
        <v>1299.039</v>
      </c>
      <c r="K54" s="57">
        <f t="shared" si="12"/>
        <v>0</v>
      </c>
      <c r="L54" s="57">
        <f>L28+L45</f>
        <v>897.3024999999999</v>
      </c>
      <c r="M54" s="57">
        <f t="shared" si="12"/>
        <v>0</v>
      </c>
      <c r="N54" s="57">
        <v>0</v>
      </c>
      <c r="O54" s="24"/>
      <c r="P54" s="34"/>
      <c r="Q54" s="78"/>
    </row>
    <row r="55" spans="1:17" s="19" customFormat="1" ht="21.75" customHeight="1">
      <c r="A55" s="88"/>
      <c r="B55" s="88"/>
      <c r="C55" s="21">
        <v>2023</v>
      </c>
      <c r="D55" s="21"/>
      <c r="E55" s="22">
        <f>E31+E46</f>
        <v>1890.1</v>
      </c>
      <c r="F55" s="22">
        <f aca="true" t="shared" si="13" ref="F55:N55">F31+F46</f>
        <v>0</v>
      </c>
      <c r="G55" s="22">
        <f t="shared" si="13"/>
        <v>0</v>
      </c>
      <c r="H55" s="22">
        <f t="shared" si="13"/>
        <v>1385</v>
      </c>
      <c r="I55" s="22">
        <f t="shared" si="13"/>
        <v>0</v>
      </c>
      <c r="J55" s="22">
        <f t="shared" si="13"/>
        <v>1385</v>
      </c>
      <c r="K55" s="22">
        <f t="shared" si="13"/>
        <v>0</v>
      </c>
      <c r="L55" s="22">
        <f t="shared" si="13"/>
        <v>505.1</v>
      </c>
      <c r="M55" s="22">
        <f t="shared" si="13"/>
        <v>0</v>
      </c>
      <c r="N55" s="22">
        <f t="shared" si="13"/>
        <v>0</v>
      </c>
      <c r="O55" s="24"/>
      <c r="P55" s="34"/>
      <c r="Q55" s="78"/>
    </row>
    <row r="56" spans="1:17" s="19" customFormat="1" ht="21.75" customHeight="1">
      <c r="A56" s="88"/>
      <c r="B56" s="88"/>
      <c r="C56" s="21">
        <v>2024</v>
      </c>
      <c r="D56" s="21"/>
      <c r="E56" s="22">
        <f>E34+E47</f>
        <v>1496.55</v>
      </c>
      <c r="F56" s="22">
        <f aca="true" t="shared" si="14" ref="F56:N56">F34+F47</f>
        <v>0</v>
      </c>
      <c r="G56" s="22">
        <f t="shared" si="14"/>
        <v>0</v>
      </c>
      <c r="H56" s="22">
        <f t="shared" si="14"/>
        <v>1309.2</v>
      </c>
      <c r="I56" s="22">
        <f t="shared" si="14"/>
        <v>0</v>
      </c>
      <c r="J56" s="22">
        <f t="shared" si="14"/>
        <v>1309.2</v>
      </c>
      <c r="K56" s="22">
        <f t="shared" si="14"/>
        <v>0</v>
      </c>
      <c r="L56" s="22">
        <f t="shared" si="14"/>
        <v>187.35000000000002</v>
      </c>
      <c r="M56" s="22">
        <f t="shared" si="14"/>
        <v>0</v>
      </c>
      <c r="N56" s="22">
        <f t="shared" si="14"/>
        <v>0</v>
      </c>
      <c r="O56" s="24"/>
      <c r="P56" s="34"/>
      <c r="Q56" s="78"/>
    </row>
    <row r="57" spans="1:17" s="19" customFormat="1" ht="21.75" customHeight="1">
      <c r="A57" s="88"/>
      <c r="B57" s="88"/>
      <c r="C57" s="21">
        <v>2025</v>
      </c>
      <c r="D57" s="21"/>
      <c r="E57" s="22">
        <f>E37+E48</f>
        <v>1496.55</v>
      </c>
      <c r="F57" s="22">
        <f aca="true" t="shared" si="15" ref="F57:N57">F37+F48</f>
        <v>0</v>
      </c>
      <c r="G57" s="22">
        <f t="shared" si="15"/>
        <v>0</v>
      </c>
      <c r="H57" s="22">
        <f t="shared" si="15"/>
        <v>1309.2</v>
      </c>
      <c r="I57" s="22">
        <f t="shared" si="15"/>
        <v>0</v>
      </c>
      <c r="J57" s="22">
        <f t="shared" si="15"/>
        <v>1309.2</v>
      </c>
      <c r="K57" s="22">
        <f t="shared" si="15"/>
        <v>0</v>
      </c>
      <c r="L57" s="22">
        <f t="shared" si="15"/>
        <v>187.35000000000002</v>
      </c>
      <c r="M57" s="22">
        <f t="shared" si="15"/>
        <v>0</v>
      </c>
      <c r="N57" s="22">
        <f t="shared" si="15"/>
        <v>0</v>
      </c>
      <c r="O57" s="24"/>
      <c r="P57" s="34"/>
      <c r="Q57" s="78"/>
    </row>
    <row r="58" spans="1:17" s="19" customFormat="1" ht="24" customHeight="1">
      <c r="A58" s="151" t="s">
        <v>30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35"/>
      <c r="Q58" s="79"/>
    </row>
    <row r="59" spans="1:17" s="19" customFormat="1" ht="17.25" customHeight="1">
      <c r="A59" s="152" t="s">
        <v>31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35"/>
      <c r="Q59" s="79"/>
    </row>
    <row r="60" spans="1:17" s="19" customFormat="1" ht="18" customHeight="1">
      <c r="A60" s="152" t="s">
        <v>32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35"/>
      <c r="Q60" s="79"/>
    </row>
    <row r="61" spans="1:17" s="19" customFormat="1" ht="13.5" customHeight="1">
      <c r="A61" s="97" t="s">
        <v>33</v>
      </c>
      <c r="B61" s="124" t="s">
        <v>34</v>
      </c>
      <c r="C61" s="134">
        <v>2017</v>
      </c>
      <c r="D61" s="16"/>
      <c r="E61" s="131">
        <f>L61</f>
        <v>93.28</v>
      </c>
      <c r="F61" s="38"/>
      <c r="G61" s="124"/>
      <c r="H61" s="149">
        <f>I61+J61</f>
        <v>0</v>
      </c>
      <c r="I61" s="124"/>
      <c r="J61" s="115"/>
      <c r="K61" s="38"/>
      <c r="L61" s="148">
        <v>93.28</v>
      </c>
      <c r="M61" s="38"/>
      <c r="N61" s="124"/>
      <c r="O61" s="132" t="s">
        <v>35</v>
      </c>
      <c r="P61" s="150" t="s">
        <v>91</v>
      </c>
      <c r="Q61" s="76"/>
    </row>
    <row r="62" spans="1:17" s="19" customFormat="1" ht="7.5" customHeight="1">
      <c r="A62" s="98"/>
      <c r="B62" s="124"/>
      <c r="C62" s="134"/>
      <c r="D62" s="40"/>
      <c r="E62" s="131"/>
      <c r="F62" s="38"/>
      <c r="G62" s="124"/>
      <c r="H62" s="149"/>
      <c r="I62" s="124"/>
      <c r="J62" s="115"/>
      <c r="K62" s="38"/>
      <c r="L62" s="148"/>
      <c r="M62" s="38"/>
      <c r="N62" s="124"/>
      <c r="O62" s="132"/>
      <c r="P62" s="150"/>
      <c r="Q62" s="76"/>
    </row>
    <row r="63" spans="1:17" s="19" customFormat="1" ht="13.5" customHeight="1">
      <c r="A63" s="98"/>
      <c r="B63" s="124"/>
      <c r="C63" s="134">
        <v>2018</v>
      </c>
      <c r="D63" s="40"/>
      <c r="E63" s="131">
        <f>L63</f>
        <v>110.2</v>
      </c>
      <c r="F63" s="38"/>
      <c r="G63" s="124"/>
      <c r="H63" s="149">
        <f>I63+J63</f>
        <v>0</v>
      </c>
      <c r="I63" s="124"/>
      <c r="J63" s="115"/>
      <c r="K63" s="38"/>
      <c r="L63" s="148">
        <v>110.2</v>
      </c>
      <c r="M63" s="38"/>
      <c r="N63" s="124"/>
      <c r="O63" s="132"/>
      <c r="P63" s="150"/>
      <c r="Q63" s="76"/>
    </row>
    <row r="64" spans="1:17" s="19" customFormat="1" ht="9.75" customHeight="1">
      <c r="A64" s="98"/>
      <c r="B64" s="124"/>
      <c r="C64" s="134"/>
      <c r="D64" s="40"/>
      <c r="E64" s="131"/>
      <c r="F64" s="38"/>
      <c r="G64" s="124"/>
      <c r="H64" s="149"/>
      <c r="I64" s="124"/>
      <c r="J64" s="115"/>
      <c r="K64" s="38"/>
      <c r="L64" s="148"/>
      <c r="M64" s="38"/>
      <c r="N64" s="124"/>
      <c r="O64" s="132"/>
      <c r="P64" s="150"/>
      <c r="Q64" s="76"/>
    </row>
    <row r="65" spans="1:17" s="19" customFormat="1" ht="12" customHeight="1">
      <c r="A65" s="98"/>
      <c r="B65" s="124"/>
      <c r="C65" s="134">
        <v>2019</v>
      </c>
      <c r="D65" s="40"/>
      <c r="E65" s="131">
        <f>L65</f>
        <v>97.29</v>
      </c>
      <c r="F65" s="38"/>
      <c r="G65" s="124"/>
      <c r="H65" s="149">
        <f>I65+J65</f>
        <v>0</v>
      </c>
      <c r="I65" s="124"/>
      <c r="J65" s="115"/>
      <c r="K65" s="38"/>
      <c r="L65" s="148">
        <v>97.29</v>
      </c>
      <c r="M65" s="38"/>
      <c r="N65" s="124"/>
      <c r="O65" s="132"/>
      <c r="P65" s="150"/>
      <c r="Q65" s="76"/>
    </row>
    <row r="66" spans="1:17" s="19" customFormat="1" ht="15" customHeight="1">
      <c r="A66" s="98"/>
      <c r="B66" s="124"/>
      <c r="C66" s="134"/>
      <c r="D66" s="40"/>
      <c r="E66" s="131"/>
      <c r="F66" s="38"/>
      <c r="G66" s="124"/>
      <c r="H66" s="149"/>
      <c r="I66" s="124"/>
      <c r="J66" s="115"/>
      <c r="K66" s="38"/>
      <c r="L66" s="148"/>
      <c r="M66" s="38"/>
      <c r="N66" s="124"/>
      <c r="O66" s="132"/>
      <c r="P66" s="150"/>
      <c r="Q66" s="76"/>
    </row>
    <row r="67" spans="1:17" s="19" customFormat="1" ht="21" customHeight="1">
      <c r="A67" s="98"/>
      <c r="B67" s="124"/>
      <c r="C67" s="31">
        <v>2020</v>
      </c>
      <c r="D67" s="40"/>
      <c r="E67" s="37">
        <f aca="true" t="shared" si="16" ref="E67:E72">J67+L67+N67</f>
        <v>96</v>
      </c>
      <c r="F67" s="38"/>
      <c r="G67" s="38"/>
      <c r="H67" s="24">
        <f>I67+J67</f>
        <v>0</v>
      </c>
      <c r="I67" s="38"/>
      <c r="J67" s="16"/>
      <c r="K67" s="38"/>
      <c r="L67" s="39">
        <f>97.3-1.3</f>
        <v>96</v>
      </c>
      <c r="M67" s="38"/>
      <c r="N67" s="20"/>
      <c r="O67" s="132"/>
      <c r="P67" s="150"/>
      <c r="Q67" s="76"/>
    </row>
    <row r="68" spans="1:17" s="19" customFormat="1" ht="21.75" customHeight="1">
      <c r="A68" s="98"/>
      <c r="B68" s="124"/>
      <c r="C68" s="31">
        <v>2021</v>
      </c>
      <c r="D68" s="40"/>
      <c r="E68" s="37">
        <f t="shared" si="16"/>
        <v>96</v>
      </c>
      <c r="F68" s="38"/>
      <c r="G68" s="38"/>
      <c r="H68" s="24">
        <f>I68+J68</f>
        <v>0</v>
      </c>
      <c r="I68" s="38"/>
      <c r="J68" s="16"/>
      <c r="K68" s="38"/>
      <c r="L68" s="39">
        <v>96</v>
      </c>
      <c r="M68" s="38"/>
      <c r="N68" s="20"/>
      <c r="O68" s="132"/>
      <c r="P68" s="150"/>
      <c r="Q68" s="76"/>
    </row>
    <row r="69" spans="1:17" s="19" customFormat="1" ht="22.5" customHeight="1">
      <c r="A69" s="98"/>
      <c r="B69" s="124"/>
      <c r="C69" s="31">
        <v>2022</v>
      </c>
      <c r="D69" s="40"/>
      <c r="E69" s="37">
        <f t="shared" si="16"/>
        <v>97.3</v>
      </c>
      <c r="F69" s="38"/>
      <c r="G69" s="38"/>
      <c r="H69" s="24">
        <f>I69+J69</f>
        <v>0</v>
      </c>
      <c r="I69" s="38"/>
      <c r="J69" s="16"/>
      <c r="K69" s="38"/>
      <c r="L69" s="39">
        <v>97.3</v>
      </c>
      <c r="M69" s="38"/>
      <c r="N69" s="20"/>
      <c r="O69" s="132"/>
      <c r="P69" s="150"/>
      <c r="Q69" s="76"/>
    </row>
    <row r="70" spans="1:17" s="19" customFormat="1" ht="22.5" customHeight="1">
      <c r="A70" s="98"/>
      <c r="B70" s="124"/>
      <c r="C70" s="31">
        <v>2023</v>
      </c>
      <c r="D70" s="40"/>
      <c r="E70" s="37">
        <f t="shared" si="16"/>
        <v>97.3</v>
      </c>
      <c r="F70" s="38"/>
      <c r="G70" s="38"/>
      <c r="H70" s="24">
        <f>I70+J70</f>
        <v>0</v>
      </c>
      <c r="I70" s="38"/>
      <c r="J70" s="16"/>
      <c r="K70" s="38"/>
      <c r="L70" s="39">
        <v>97.3</v>
      </c>
      <c r="M70" s="38"/>
      <c r="N70" s="20"/>
      <c r="O70" s="132"/>
      <c r="P70" s="150"/>
      <c r="Q70" s="76"/>
    </row>
    <row r="71" spans="1:17" s="19" customFormat="1" ht="22.5" customHeight="1">
      <c r="A71" s="98"/>
      <c r="B71" s="124"/>
      <c r="C71" s="31">
        <v>2024</v>
      </c>
      <c r="D71" s="40"/>
      <c r="E71" s="37">
        <f t="shared" si="16"/>
        <v>0</v>
      </c>
      <c r="F71" s="38"/>
      <c r="G71" s="38"/>
      <c r="H71" s="24"/>
      <c r="I71" s="38"/>
      <c r="J71" s="16"/>
      <c r="K71" s="38"/>
      <c r="L71" s="39">
        <v>0</v>
      </c>
      <c r="M71" s="38"/>
      <c r="N71" s="20"/>
      <c r="O71" s="132"/>
      <c r="P71" s="150"/>
      <c r="Q71" s="76"/>
    </row>
    <row r="72" spans="1:17" s="19" customFormat="1" ht="22.5" customHeight="1">
      <c r="A72" s="100"/>
      <c r="B72" s="124"/>
      <c r="C72" s="31">
        <v>2025</v>
      </c>
      <c r="D72" s="40"/>
      <c r="E72" s="37">
        <f t="shared" si="16"/>
        <v>0</v>
      </c>
      <c r="F72" s="38"/>
      <c r="G72" s="38"/>
      <c r="H72" s="24"/>
      <c r="I72" s="38"/>
      <c r="J72" s="16"/>
      <c r="K72" s="38"/>
      <c r="L72" s="39">
        <v>0</v>
      </c>
      <c r="M72" s="38"/>
      <c r="N72" s="20"/>
      <c r="O72" s="132"/>
      <c r="P72" s="150"/>
      <c r="Q72" s="76"/>
    </row>
    <row r="73" spans="1:17" s="19" customFormat="1" ht="24" customHeight="1">
      <c r="A73" s="97" t="s">
        <v>36</v>
      </c>
      <c r="B73" s="93" t="s">
        <v>37</v>
      </c>
      <c r="C73" s="134">
        <v>2017</v>
      </c>
      <c r="D73" s="134"/>
      <c r="E73" s="37">
        <f aca="true" t="shared" si="17" ref="E73:E83">J73+L73</f>
        <v>40</v>
      </c>
      <c r="F73" s="24"/>
      <c r="G73" s="24"/>
      <c r="H73" s="24">
        <f aca="true" t="shared" si="18" ref="H73:H84">I73+J73</f>
        <v>0</v>
      </c>
      <c r="I73" s="24"/>
      <c r="J73" s="39"/>
      <c r="K73" s="24"/>
      <c r="L73" s="39">
        <v>40</v>
      </c>
      <c r="M73" s="38"/>
      <c r="N73" s="20"/>
      <c r="O73" s="144" t="s">
        <v>38</v>
      </c>
      <c r="P73" s="110" t="s">
        <v>92</v>
      </c>
      <c r="Q73" s="78"/>
    </row>
    <row r="74" spans="1:17" s="19" customFormat="1" ht="34.5" customHeight="1">
      <c r="A74" s="98"/>
      <c r="B74" s="94"/>
      <c r="C74" s="134">
        <v>2018</v>
      </c>
      <c r="D74" s="134"/>
      <c r="E74" s="37">
        <f t="shared" si="17"/>
        <v>40</v>
      </c>
      <c r="F74" s="24"/>
      <c r="G74" s="24"/>
      <c r="H74" s="24">
        <f t="shared" si="18"/>
        <v>0</v>
      </c>
      <c r="I74" s="24"/>
      <c r="J74" s="41"/>
      <c r="K74" s="24"/>
      <c r="L74" s="39">
        <v>40</v>
      </c>
      <c r="M74" s="38"/>
      <c r="N74" s="38"/>
      <c r="O74" s="145"/>
      <c r="P74" s="105"/>
      <c r="Q74" s="78"/>
    </row>
    <row r="75" spans="1:17" s="19" customFormat="1" ht="60" customHeight="1" hidden="1">
      <c r="A75" s="98"/>
      <c r="B75" s="94"/>
      <c r="C75" s="134">
        <v>2019</v>
      </c>
      <c r="D75" s="134"/>
      <c r="E75" s="37">
        <f t="shared" si="17"/>
        <v>0</v>
      </c>
      <c r="F75" s="24"/>
      <c r="G75" s="24"/>
      <c r="H75" s="24">
        <f t="shared" si="18"/>
        <v>0</v>
      </c>
      <c r="I75" s="24"/>
      <c r="J75" s="41"/>
      <c r="K75" s="24"/>
      <c r="L75" s="39">
        <v>0</v>
      </c>
      <c r="M75" s="38"/>
      <c r="N75" s="38"/>
      <c r="O75" s="145"/>
      <c r="P75" s="105"/>
      <c r="Q75" s="78"/>
    </row>
    <row r="76" spans="1:17" s="19" customFormat="1" ht="26.25" customHeight="1">
      <c r="A76" s="98"/>
      <c r="B76" s="94"/>
      <c r="C76" s="134"/>
      <c r="D76" s="134"/>
      <c r="E76" s="37">
        <f t="shared" si="17"/>
        <v>52.2</v>
      </c>
      <c r="F76" s="24"/>
      <c r="G76" s="24"/>
      <c r="H76" s="24">
        <f t="shared" si="18"/>
        <v>0</v>
      </c>
      <c r="I76" s="24"/>
      <c r="J76" s="41">
        <v>0</v>
      </c>
      <c r="K76" s="24"/>
      <c r="L76" s="37">
        <f>40+12.2</f>
        <v>52.2</v>
      </c>
      <c r="M76" s="38"/>
      <c r="N76" s="38"/>
      <c r="O76" s="145"/>
      <c r="P76" s="105"/>
      <c r="Q76" s="78"/>
    </row>
    <row r="77" spans="1:17" s="19" customFormat="1" ht="48" customHeight="1" hidden="1">
      <c r="A77" s="98"/>
      <c r="B77" s="94"/>
      <c r="C77" s="40">
        <v>2020</v>
      </c>
      <c r="D77" s="31"/>
      <c r="E77" s="37">
        <f t="shared" si="17"/>
        <v>60</v>
      </c>
      <c r="F77" s="24"/>
      <c r="G77" s="24"/>
      <c r="H77" s="24">
        <f t="shared" si="18"/>
        <v>0</v>
      </c>
      <c r="I77" s="24"/>
      <c r="J77" s="41"/>
      <c r="K77" s="24"/>
      <c r="L77" s="39">
        <v>60</v>
      </c>
      <c r="M77" s="38"/>
      <c r="N77" s="38"/>
      <c r="O77" s="145"/>
      <c r="P77" s="105"/>
      <c r="Q77" s="78"/>
    </row>
    <row r="78" spans="1:17" s="19" customFormat="1" ht="22.5" customHeight="1">
      <c r="A78" s="98"/>
      <c r="B78" s="94"/>
      <c r="C78" s="31">
        <v>2020</v>
      </c>
      <c r="D78" s="31"/>
      <c r="E78" s="37">
        <f t="shared" si="17"/>
        <v>0</v>
      </c>
      <c r="F78" s="24"/>
      <c r="G78" s="24"/>
      <c r="H78" s="24">
        <f t="shared" si="18"/>
        <v>0</v>
      </c>
      <c r="I78" s="24"/>
      <c r="J78" s="41"/>
      <c r="K78" s="24"/>
      <c r="L78" s="37">
        <f>60-60</f>
        <v>0</v>
      </c>
      <c r="M78" s="20"/>
      <c r="N78" s="20"/>
      <c r="O78" s="145"/>
      <c r="P78" s="105"/>
      <c r="Q78" s="78"/>
    </row>
    <row r="79" spans="1:17" s="19" customFormat="1" ht="22.5" customHeight="1">
      <c r="A79" s="98"/>
      <c r="B79" s="94"/>
      <c r="C79" s="31">
        <v>2021</v>
      </c>
      <c r="D79" s="31"/>
      <c r="E79" s="37">
        <f t="shared" si="17"/>
        <v>0</v>
      </c>
      <c r="F79" s="24"/>
      <c r="G79" s="24"/>
      <c r="H79" s="24">
        <f t="shared" si="18"/>
        <v>0</v>
      </c>
      <c r="I79" s="24"/>
      <c r="J79" s="41">
        <v>0</v>
      </c>
      <c r="K79" s="24"/>
      <c r="L79" s="39">
        <v>0</v>
      </c>
      <c r="M79" s="38"/>
      <c r="N79" s="38"/>
      <c r="O79" s="145"/>
      <c r="P79" s="105"/>
      <c r="Q79" s="78"/>
    </row>
    <row r="80" spans="1:17" s="19" customFormat="1" ht="65.25" customHeight="1">
      <c r="A80" s="98"/>
      <c r="B80" s="94"/>
      <c r="C80" s="31">
        <v>2022</v>
      </c>
      <c r="D80" s="31"/>
      <c r="E80" s="37">
        <f t="shared" si="17"/>
        <v>0</v>
      </c>
      <c r="F80" s="24"/>
      <c r="G80" s="24"/>
      <c r="H80" s="24">
        <f t="shared" si="18"/>
        <v>0</v>
      </c>
      <c r="I80" s="24"/>
      <c r="J80" s="41">
        <v>0</v>
      </c>
      <c r="K80" s="24"/>
      <c r="L80" s="39">
        <v>0</v>
      </c>
      <c r="M80" s="38"/>
      <c r="N80" s="38"/>
      <c r="O80" s="145"/>
      <c r="P80" s="105"/>
      <c r="Q80" s="78"/>
    </row>
    <row r="81" spans="1:17" s="19" customFormat="1" ht="24.75" customHeight="1">
      <c r="A81" s="98"/>
      <c r="B81" s="94"/>
      <c r="C81" s="31">
        <v>2023</v>
      </c>
      <c r="D81" s="31"/>
      <c r="E81" s="37">
        <f t="shared" si="17"/>
        <v>0</v>
      </c>
      <c r="F81" s="24"/>
      <c r="G81" s="24"/>
      <c r="H81" s="24">
        <f t="shared" si="18"/>
        <v>0</v>
      </c>
      <c r="I81" s="24"/>
      <c r="J81" s="41"/>
      <c r="K81" s="24"/>
      <c r="L81" s="39">
        <v>0</v>
      </c>
      <c r="M81" s="38"/>
      <c r="N81" s="38"/>
      <c r="O81" s="146"/>
      <c r="P81" s="106"/>
      <c r="Q81" s="78"/>
    </row>
    <row r="82" spans="1:17" s="19" customFormat="1" ht="24.75" customHeight="1">
      <c r="A82" s="99"/>
      <c r="B82" s="95"/>
      <c r="C82" s="31">
        <v>2024</v>
      </c>
      <c r="D82" s="31"/>
      <c r="E82" s="37">
        <f t="shared" si="17"/>
        <v>0</v>
      </c>
      <c r="F82" s="24"/>
      <c r="G82" s="24"/>
      <c r="H82" s="24">
        <f t="shared" si="18"/>
        <v>0</v>
      </c>
      <c r="I82" s="24"/>
      <c r="J82" s="41"/>
      <c r="K82" s="24"/>
      <c r="L82" s="39">
        <v>0</v>
      </c>
      <c r="M82" s="38"/>
      <c r="N82" s="38"/>
      <c r="O82" s="146"/>
      <c r="P82" s="106"/>
      <c r="Q82" s="78"/>
    </row>
    <row r="83" spans="1:17" s="19" customFormat="1" ht="24.75" customHeight="1">
      <c r="A83" s="100"/>
      <c r="B83" s="96"/>
      <c r="C83" s="31">
        <v>2025</v>
      </c>
      <c r="D83" s="31"/>
      <c r="E83" s="37">
        <f t="shared" si="17"/>
        <v>0</v>
      </c>
      <c r="F83" s="24"/>
      <c r="G83" s="24"/>
      <c r="H83" s="24">
        <f t="shared" si="18"/>
        <v>0</v>
      </c>
      <c r="I83" s="24"/>
      <c r="J83" s="41"/>
      <c r="K83" s="24"/>
      <c r="L83" s="39">
        <v>0</v>
      </c>
      <c r="M83" s="38"/>
      <c r="N83" s="38"/>
      <c r="O83" s="147"/>
      <c r="P83" s="107"/>
      <c r="Q83" s="78"/>
    </row>
    <row r="84" spans="1:17" s="19" customFormat="1" ht="34.5" customHeight="1">
      <c r="A84" s="36" t="s">
        <v>39</v>
      </c>
      <c r="B84" s="20" t="s">
        <v>40</v>
      </c>
      <c r="C84" s="31" t="s">
        <v>93</v>
      </c>
      <c r="D84" s="16"/>
      <c r="E84" s="37">
        <f>G84+H84+L84+N84</f>
        <v>0</v>
      </c>
      <c r="F84" s="37"/>
      <c r="G84" s="31"/>
      <c r="H84" s="37">
        <f t="shared" si="18"/>
        <v>0</v>
      </c>
      <c r="I84" s="31"/>
      <c r="J84" s="39">
        <v>0</v>
      </c>
      <c r="K84" s="39"/>
      <c r="L84" s="42">
        <v>0</v>
      </c>
      <c r="M84" s="43"/>
      <c r="N84" s="17"/>
      <c r="O84" s="38" t="s">
        <v>90</v>
      </c>
      <c r="P84" s="34"/>
      <c r="Q84" s="78"/>
    </row>
    <row r="85" spans="1:17" s="19" customFormat="1" ht="21.75" customHeight="1">
      <c r="A85" s="139" t="s">
        <v>41</v>
      </c>
      <c r="B85" s="139"/>
      <c r="C85" s="44">
        <v>2017</v>
      </c>
      <c r="D85" s="16"/>
      <c r="E85" s="22">
        <f>J85+L85+N85</f>
        <v>133.28</v>
      </c>
      <c r="F85" s="22"/>
      <c r="G85" s="22"/>
      <c r="H85" s="22">
        <f>H63+H74+H80</f>
        <v>0</v>
      </c>
      <c r="I85" s="22"/>
      <c r="J85" s="22"/>
      <c r="K85" s="45"/>
      <c r="L85" s="22">
        <f>L61+L73</f>
        <v>133.28</v>
      </c>
      <c r="M85" s="23"/>
      <c r="N85" s="22"/>
      <c r="O85" s="124"/>
      <c r="P85" s="142"/>
      <c r="Q85" s="78"/>
    </row>
    <row r="86" spans="1:17" s="19" customFormat="1" ht="22.5" customHeight="1">
      <c r="A86" s="139"/>
      <c r="B86" s="139"/>
      <c r="C86" s="46">
        <v>2018</v>
      </c>
      <c r="D86" s="31"/>
      <c r="E86" s="22">
        <f>J86+L86+N86</f>
        <v>150.2</v>
      </c>
      <c r="F86" s="22"/>
      <c r="G86" s="22"/>
      <c r="H86" s="22">
        <f>H64+H75+H81</f>
        <v>0</v>
      </c>
      <c r="I86" s="22"/>
      <c r="J86" s="22"/>
      <c r="K86" s="45"/>
      <c r="L86" s="22">
        <f>L63+L74</f>
        <v>150.2</v>
      </c>
      <c r="M86" s="23"/>
      <c r="N86" s="22"/>
      <c r="O86" s="124"/>
      <c r="P86" s="142"/>
      <c r="Q86" s="78"/>
    </row>
    <row r="87" spans="1:17" s="19" customFormat="1" ht="21" customHeight="1">
      <c r="A87" s="139"/>
      <c r="B87" s="139"/>
      <c r="C87" s="44">
        <v>2019</v>
      </c>
      <c r="D87" s="16"/>
      <c r="E87" s="22">
        <f>E65+E76+E84</f>
        <v>149.49</v>
      </c>
      <c r="F87" s="22">
        <f>F65+F76+F84</f>
        <v>0</v>
      </c>
      <c r="G87" s="22">
        <f>G65+G76+G84</f>
        <v>0</v>
      </c>
      <c r="H87" s="22">
        <f>H65+H76+H84</f>
        <v>0</v>
      </c>
      <c r="I87" s="22">
        <f aca="true" t="shared" si="19" ref="I87:N87">I65+I76+I84</f>
        <v>0</v>
      </c>
      <c r="J87" s="22">
        <f t="shared" si="19"/>
        <v>0</v>
      </c>
      <c r="K87" s="22">
        <f t="shared" si="19"/>
        <v>0</v>
      </c>
      <c r="L87" s="22">
        <f t="shared" si="19"/>
        <v>149.49</v>
      </c>
      <c r="M87" s="22">
        <f t="shared" si="19"/>
        <v>0</v>
      </c>
      <c r="N87" s="22">
        <f t="shared" si="19"/>
        <v>0</v>
      </c>
      <c r="O87" s="124"/>
      <c r="P87" s="142"/>
      <c r="Q87" s="78"/>
    </row>
    <row r="88" spans="1:17" s="19" customFormat="1" ht="21" customHeight="1">
      <c r="A88" s="139"/>
      <c r="B88" s="139"/>
      <c r="C88" s="44">
        <v>2020</v>
      </c>
      <c r="D88" s="16"/>
      <c r="E88" s="22">
        <f aca="true" t="shared" si="20" ref="E88:N88">E67+E78</f>
        <v>96</v>
      </c>
      <c r="F88" s="22">
        <f t="shared" si="20"/>
        <v>0</v>
      </c>
      <c r="G88" s="22">
        <f t="shared" si="20"/>
        <v>0</v>
      </c>
      <c r="H88" s="22">
        <f t="shared" si="20"/>
        <v>0</v>
      </c>
      <c r="I88" s="22">
        <f t="shared" si="20"/>
        <v>0</v>
      </c>
      <c r="J88" s="22">
        <f t="shared" si="20"/>
        <v>0</v>
      </c>
      <c r="K88" s="22">
        <f t="shared" si="20"/>
        <v>0</v>
      </c>
      <c r="L88" s="22">
        <f t="shared" si="20"/>
        <v>96</v>
      </c>
      <c r="M88" s="22">
        <f t="shared" si="20"/>
        <v>0</v>
      </c>
      <c r="N88" s="22">
        <f t="shared" si="20"/>
        <v>0</v>
      </c>
      <c r="O88" s="124"/>
      <c r="P88" s="142"/>
      <c r="Q88" s="78"/>
    </row>
    <row r="89" spans="1:17" s="19" customFormat="1" ht="21" customHeight="1">
      <c r="A89" s="139"/>
      <c r="B89" s="139"/>
      <c r="C89" s="44">
        <v>2021</v>
      </c>
      <c r="D89" s="16"/>
      <c r="E89" s="22">
        <f aca="true" t="shared" si="21" ref="E89:N89">E68+E79</f>
        <v>96</v>
      </c>
      <c r="F89" s="22">
        <f t="shared" si="21"/>
        <v>0</v>
      </c>
      <c r="G89" s="22">
        <f t="shared" si="21"/>
        <v>0</v>
      </c>
      <c r="H89" s="22">
        <f t="shared" si="21"/>
        <v>0</v>
      </c>
      <c r="I89" s="22">
        <f t="shared" si="21"/>
        <v>0</v>
      </c>
      <c r="J89" s="22">
        <f t="shared" si="21"/>
        <v>0</v>
      </c>
      <c r="K89" s="22">
        <f t="shared" si="21"/>
        <v>0</v>
      </c>
      <c r="L89" s="22">
        <f t="shared" si="21"/>
        <v>96</v>
      </c>
      <c r="M89" s="22">
        <f t="shared" si="21"/>
        <v>0</v>
      </c>
      <c r="N89" s="22">
        <f t="shared" si="21"/>
        <v>0</v>
      </c>
      <c r="O89" s="124"/>
      <c r="P89" s="142"/>
      <c r="Q89" s="78"/>
    </row>
    <row r="90" spans="1:17" s="19" customFormat="1" ht="22.5" customHeight="1">
      <c r="A90" s="139"/>
      <c r="B90" s="139"/>
      <c r="C90" s="44">
        <v>2022</v>
      </c>
      <c r="D90" s="16"/>
      <c r="E90" s="22">
        <f aca="true" t="shared" si="22" ref="E90:N90">E69+E80</f>
        <v>97.3</v>
      </c>
      <c r="F90" s="22">
        <f t="shared" si="22"/>
        <v>0</v>
      </c>
      <c r="G90" s="22">
        <f t="shared" si="22"/>
        <v>0</v>
      </c>
      <c r="H90" s="22">
        <f t="shared" si="22"/>
        <v>0</v>
      </c>
      <c r="I90" s="22">
        <f t="shared" si="22"/>
        <v>0</v>
      </c>
      <c r="J90" s="22">
        <f t="shared" si="22"/>
        <v>0</v>
      </c>
      <c r="K90" s="22">
        <f t="shared" si="22"/>
        <v>0</v>
      </c>
      <c r="L90" s="22">
        <f t="shared" si="22"/>
        <v>97.3</v>
      </c>
      <c r="M90" s="22">
        <f t="shared" si="22"/>
        <v>0</v>
      </c>
      <c r="N90" s="22">
        <f t="shared" si="22"/>
        <v>0</v>
      </c>
      <c r="O90" s="124"/>
      <c r="P90" s="142"/>
      <c r="Q90" s="78"/>
    </row>
    <row r="91" spans="1:17" s="19" customFormat="1" ht="22.5" customHeight="1">
      <c r="A91" s="139"/>
      <c r="B91" s="139"/>
      <c r="C91" s="44">
        <v>2023</v>
      </c>
      <c r="D91" s="16"/>
      <c r="E91" s="22">
        <f aca="true" t="shared" si="23" ref="E91:N91">E70+E81</f>
        <v>97.3</v>
      </c>
      <c r="F91" s="22">
        <f t="shared" si="23"/>
        <v>0</v>
      </c>
      <c r="G91" s="22">
        <f t="shared" si="23"/>
        <v>0</v>
      </c>
      <c r="H91" s="22">
        <f t="shared" si="23"/>
        <v>0</v>
      </c>
      <c r="I91" s="22">
        <f t="shared" si="23"/>
        <v>0</v>
      </c>
      <c r="J91" s="22">
        <f t="shared" si="23"/>
        <v>0</v>
      </c>
      <c r="K91" s="22">
        <f t="shared" si="23"/>
        <v>0</v>
      </c>
      <c r="L91" s="22">
        <f t="shared" si="23"/>
        <v>97.3</v>
      </c>
      <c r="M91" s="22">
        <f t="shared" si="23"/>
        <v>0</v>
      </c>
      <c r="N91" s="22">
        <f t="shared" si="23"/>
        <v>0</v>
      </c>
      <c r="O91" s="20"/>
      <c r="P91" s="34"/>
      <c r="Q91" s="78"/>
    </row>
    <row r="92" spans="1:17" s="19" customFormat="1" ht="22.5" customHeight="1">
      <c r="A92" s="139"/>
      <c r="B92" s="139"/>
      <c r="C92" s="44">
        <v>2024</v>
      </c>
      <c r="D92" s="16"/>
      <c r="E92" s="22">
        <f>E71+E83</f>
        <v>0</v>
      </c>
      <c r="F92" s="22">
        <f aca="true" t="shared" si="24" ref="F92:K93">F72+F83</f>
        <v>0</v>
      </c>
      <c r="G92" s="22">
        <f t="shared" si="24"/>
        <v>0</v>
      </c>
      <c r="H92" s="22">
        <f t="shared" si="24"/>
        <v>0</v>
      </c>
      <c r="I92" s="22">
        <f t="shared" si="24"/>
        <v>0</v>
      </c>
      <c r="J92" s="22">
        <f t="shared" si="24"/>
        <v>0</v>
      </c>
      <c r="K92" s="22">
        <f t="shared" si="24"/>
        <v>0</v>
      </c>
      <c r="L92" s="22">
        <f>L71+L83</f>
        <v>0</v>
      </c>
      <c r="M92" s="22">
        <f>M72+M83</f>
        <v>0</v>
      </c>
      <c r="N92" s="22">
        <f>N72+N83</f>
        <v>0</v>
      </c>
      <c r="O92" s="20"/>
      <c r="P92" s="34"/>
      <c r="Q92" s="78"/>
    </row>
    <row r="93" spans="1:17" s="19" customFormat="1" ht="22.5" customHeight="1">
      <c r="A93" s="139"/>
      <c r="B93" s="139"/>
      <c r="C93" s="44">
        <v>2025</v>
      </c>
      <c r="D93" s="16"/>
      <c r="E93" s="22">
        <f>E72+E84</f>
        <v>0</v>
      </c>
      <c r="F93" s="22">
        <f t="shared" si="24"/>
        <v>0</v>
      </c>
      <c r="G93" s="22">
        <f t="shared" si="24"/>
        <v>0</v>
      </c>
      <c r="H93" s="22">
        <f t="shared" si="24"/>
        <v>0</v>
      </c>
      <c r="I93" s="22">
        <f t="shared" si="24"/>
        <v>0</v>
      </c>
      <c r="J93" s="22">
        <f t="shared" si="24"/>
        <v>0</v>
      </c>
      <c r="K93" s="22">
        <f t="shared" si="24"/>
        <v>0</v>
      </c>
      <c r="L93" s="22">
        <f>L72+L84</f>
        <v>0</v>
      </c>
      <c r="M93" s="22">
        <f>M73+M84</f>
        <v>0</v>
      </c>
      <c r="N93" s="22">
        <f>N73+N84</f>
        <v>0</v>
      </c>
      <c r="O93" s="20"/>
      <c r="P93" s="34"/>
      <c r="Q93" s="78"/>
    </row>
    <row r="94" spans="1:17" s="19" customFormat="1" ht="19.5" customHeight="1">
      <c r="A94" s="143" t="s">
        <v>42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74"/>
    </row>
    <row r="95" spans="1:17" s="19" customFormat="1" ht="19.5" customHeight="1">
      <c r="A95" s="140" t="s">
        <v>43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75"/>
    </row>
    <row r="96" spans="1:17" s="19" customFormat="1" ht="19.5" customHeight="1">
      <c r="A96" s="140" t="s">
        <v>44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75"/>
    </row>
    <row r="97" spans="1:17" s="19" customFormat="1" ht="19.5" customHeight="1">
      <c r="A97" s="97" t="s">
        <v>45</v>
      </c>
      <c r="B97" s="93" t="s">
        <v>46</v>
      </c>
      <c r="C97" s="115">
        <v>2017</v>
      </c>
      <c r="D97" s="115"/>
      <c r="E97" s="128">
        <f>J97+L97+N97</f>
        <v>3256.791</v>
      </c>
      <c r="F97" s="128"/>
      <c r="G97" s="128"/>
      <c r="H97" s="128">
        <f>I97+J97</f>
        <v>0</v>
      </c>
      <c r="I97" s="128"/>
      <c r="J97" s="136">
        <v>0</v>
      </c>
      <c r="K97" s="20"/>
      <c r="L97" s="130">
        <v>3256.791</v>
      </c>
      <c r="M97" s="130"/>
      <c r="N97" s="138">
        <v>0</v>
      </c>
      <c r="O97" s="141" t="s">
        <v>25</v>
      </c>
      <c r="P97" s="119" t="s">
        <v>98</v>
      </c>
      <c r="Q97" s="76"/>
    </row>
    <row r="98" spans="1:17" s="19" customFormat="1" ht="0" customHeight="1" hidden="1">
      <c r="A98" s="98"/>
      <c r="B98" s="94"/>
      <c r="C98" s="115"/>
      <c r="D98" s="115"/>
      <c r="E98" s="128"/>
      <c r="F98" s="128"/>
      <c r="G98" s="128"/>
      <c r="H98" s="128"/>
      <c r="I98" s="128"/>
      <c r="J98" s="136"/>
      <c r="K98" s="16"/>
      <c r="L98" s="130"/>
      <c r="M98" s="130"/>
      <c r="N98" s="138"/>
      <c r="O98" s="141"/>
      <c r="P98" s="120"/>
      <c r="Q98" s="76"/>
    </row>
    <row r="99" spans="1:17" s="19" customFormat="1" ht="16.5" customHeight="1" hidden="1">
      <c r="A99" s="98"/>
      <c r="B99" s="94"/>
      <c r="C99" s="115"/>
      <c r="D99" s="115"/>
      <c r="E99" s="128"/>
      <c r="F99" s="128"/>
      <c r="G99" s="128"/>
      <c r="H99" s="128"/>
      <c r="I99" s="128"/>
      <c r="J99" s="136"/>
      <c r="K99" s="48"/>
      <c r="L99" s="130"/>
      <c r="M99" s="130"/>
      <c r="N99" s="138"/>
      <c r="O99" s="141"/>
      <c r="P99" s="120"/>
      <c r="Q99" s="76"/>
    </row>
    <row r="100" spans="1:17" s="19" customFormat="1" ht="19.5" customHeight="1">
      <c r="A100" s="98"/>
      <c r="B100" s="94"/>
      <c r="C100" s="16">
        <v>2018</v>
      </c>
      <c r="D100" s="16"/>
      <c r="E100" s="47">
        <f aca="true" t="shared" si="25" ref="E100:E137">J100+L100+N100</f>
        <v>3070.76057</v>
      </c>
      <c r="F100" s="47"/>
      <c r="G100" s="52"/>
      <c r="H100" s="47">
        <f aca="true" t="shared" si="26" ref="H100:H139">I100+J100</f>
        <v>0</v>
      </c>
      <c r="I100" s="52"/>
      <c r="J100" s="48">
        <v>0</v>
      </c>
      <c r="K100" s="48"/>
      <c r="L100" s="130">
        <f>3553.319-482.55843</f>
        <v>3070.76057</v>
      </c>
      <c r="M100" s="130"/>
      <c r="N100" s="50">
        <v>0</v>
      </c>
      <c r="O100" s="53" t="s">
        <v>25</v>
      </c>
      <c r="P100" s="120"/>
      <c r="Q100" s="76"/>
    </row>
    <row r="101" spans="1:17" s="19" customFormat="1" ht="19.5" customHeight="1">
      <c r="A101" s="98"/>
      <c r="B101" s="94"/>
      <c r="C101" s="115">
        <v>2019</v>
      </c>
      <c r="D101" s="115"/>
      <c r="E101" s="128">
        <f t="shared" si="25"/>
        <v>2637.4877</v>
      </c>
      <c r="F101" s="128"/>
      <c r="G101" s="52"/>
      <c r="H101" s="47">
        <f t="shared" si="26"/>
        <v>0</v>
      </c>
      <c r="I101" s="52"/>
      <c r="J101" s="48">
        <v>0</v>
      </c>
      <c r="K101" s="48"/>
      <c r="L101" s="130">
        <v>2637.4877</v>
      </c>
      <c r="M101" s="130"/>
      <c r="N101" s="50">
        <v>0</v>
      </c>
      <c r="O101" s="53" t="s">
        <v>25</v>
      </c>
      <c r="P101" s="120"/>
      <c r="Q101" s="76"/>
    </row>
    <row r="102" spans="1:17" s="19" customFormat="1" ht="19.5" customHeight="1">
      <c r="A102" s="98"/>
      <c r="B102" s="94"/>
      <c r="C102" s="115">
        <v>2020</v>
      </c>
      <c r="D102" s="16"/>
      <c r="E102" s="47">
        <f t="shared" si="25"/>
        <v>2109.819</v>
      </c>
      <c r="F102" s="47"/>
      <c r="G102" s="52"/>
      <c r="H102" s="47">
        <f t="shared" si="26"/>
        <v>0</v>
      </c>
      <c r="I102" s="52"/>
      <c r="J102" s="48">
        <v>0</v>
      </c>
      <c r="K102" s="48"/>
      <c r="L102" s="49">
        <f>2023.496+86.323</f>
        <v>2109.819</v>
      </c>
      <c r="M102" s="49"/>
      <c r="N102" s="50">
        <v>0</v>
      </c>
      <c r="O102" s="53" t="s">
        <v>47</v>
      </c>
      <c r="P102" s="120"/>
      <c r="Q102" s="76"/>
    </row>
    <row r="103" spans="1:17" s="19" customFormat="1" ht="19.5" customHeight="1">
      <c r="A103" s="98"/>
      <c r="B103" s="94"/>
      <c r="C103" s="115"/>
      <c r="D103" s="16"/>
      <c r="E103" s="47">
        <f t="shared" si="25"/>
        <v>697.4849999999999</v>
      </c>
      <c r="F103" s="47"/>
      <c r="G103" s="52"/>
      <c r="H103" s="47">
        <f t="shared" si="26"/>
        <v>0</v>
      </c>
      <c r="I103" s="52"/>
      <c r="J103" s="48"/>
      <c r="K103" s="48"/>
      <c r="L103" s="49">
        <f>1403.2+126.908-163-0.66-430.963-238</f>
        <v>697.4849999999999</v>
      </c>
      <c r="M103" s="49"/>
      <c r="N103" s="50"/>
      <c r="O103" s="53" t="s">
        <v>48</v>
      </c>
      <c r="P103" s="120"/>
      <c r="Q103" s="76"/>
    </row>
    <row r="104" spans="1:17" s="19" customFormat="1" ht="19.5" customHeight="1">
      <c r="A104" s="98"/>
      <c r="B104" s="94"/>
      <c r="C104" s="115">
        <v>2021</v>
      </c>
      <c r="D104" s="16"/>
      <c r="E104" s="47">
        <f t="shared" si="25"/>
        <v>1739.68993</v>
      </c>
      <c r="F104" s="47"/>
      <c r="G104" s="52"/>
      <c r="H104" s="47">
        <f t="shared" si="26"/>
        <v>0</v>
      </c>
      <c r="I104" s="52"/>
      <c r="J104" s="48">
        <v>0</v>
      </c>
      <c r="K104" s="48"/>
      <c r="L104" s="49">
        <v>1739.68993</v>
      </c>
      <c r="M104" s="49"/>
      <c r="N104" s="50">
        <v>0</v>
      </c>
      <c r="O104" s="53" t="s">
        <v>49</v>
      </c>
      <c r="P104" s="120"/>
      <c r="Q104" s="76"/>
    </row>
    <row r="105" spans="1:17" s="19" customFormat="1" ht="19.5" customHeight="1">
      <c r="A105" s="98"/>
      <c r="B105" s="94"/>
      <c r="C105" s="115"/>
      <c r="D105" s="16"/>
      <c r="E105" s="47">
        <f t="shared" si="25"/>
        <v>608.60166</v>
      </c>
      <c r="F105" s="47"/>
      <c r="G105" s="52"/>
      <c r="H105" s="47">
        <f t="shared" si="26"/>
        <v>0</v>
      </c>
      <c r="I105" s="52"/>
      <c r="J105" s="48"/>
      <c r="K105" s="48"/>
      <c r="L105" s="49">
        <f>353.639+488.362-233.39934</f>
        <v>608.60166</v>
      </c>
      <c r="M105" s="49"/>
      <c r="N105" s="50"/>
      <c r="O105" s="53" t="s">
        <v>50</v>
      </c>
      <c r="P105" s="120"/>
      <c r="Q105" s="76"/>
    </row>
    <row r="106" spans="1:17" s="19" customFormat="1" ht="19.5" customHeight="1">
      <c r="A106" s="98"/>
      <c r="B106" s="94"/>
      <c r="C106" s="115">
        <v>2022</v>
      </c>
      <c r="D106" s="16"/>
      <c r="E106" s="47">
        <f t="shared" si="25"/>
        <v>1597.705</v>
      </c>
      <c r="F106" s="47"/>
      <c r="G106" s="52"/>
      <c r="H106" s="47">
        <f t="shared" si="26"/>
        <v>0</v>
      </c>
      <c r="I106" s="52"/>
      <c r="J106" s="48">
        <v>0</v>
      </c>
      <c r="K106" s="48"/>
      <c r="L106" s="49">
        <v>1597.705</v>
      </c>
      <c r="M106" s="49"/>
      <c r="N106" s="50">
        <v>0</v>
      </c>
      <c r="O106" s="53" t="s">
        <v>49</v>
      </c>
      <c r="P106" s="120"/>
      <c r="Q106" s="76"/>
    </row>
    <row r="107" spans="1:17" s="19" customFormat="1" ht="19.5" customHeight="1">
      <c r="A107" s="98"/>
      <c r="B107" s="94"/>
      <c r="C107" s="115"/>
      <c r="D107" s="16"/>
      <c r="E107" s="47">
        <f t="shared" si="25"/>
        <v>601.369</v>
      </c>
      <c r="F107" s="47"/>
      <c r="G107" s="52"/>
      <c r="H107" s="47">
        <f t="shared" si="26"/>
        <v>0</v>
      </c>
      <c r="I107" s="52"/>
      <c r="J107" s="48"/>
      <c r="K107" s="48"/>
      <c r="L107" s="49">
        <v>601.369</v>
      </c>
      <c r="M107" s="49"/>
      <c r="N107" s="50"/>
      <c r="O107" s="53" t="s">
        <v>50</v>
      </c>
      <c r="P107" s="120"/>
      <c r="Q107" s="76"/>
    </row>
    <row r="108" spans="1:17" s="19" customFormat="1" ht="19.5" customHeight="1">
      <c r="A108" s="98"/>
      <c r="B108" s="94"/>
      <c r="C108" s="115">
        <v>2023</v>
      </c>
      <c r="D108" s="16"/>
      <c r="E108" s="47">
        <f t="shared" si="25"/>
        <v>3060.912</v>
      </c>
      <c r="F108" s="47"/>
      <c r="G108" s="52"/>
      <c r="H108" s="47">
        <f t="shared" si="26"/>
        <v>0</v>
      </c>
      <c r="I108" s="52"/>
      <c r="J108" s="48"/>
      <c r="K108" s="48"/>
      <c r="L108" s="49">
        <v>3060.912</v>
      </c>
      <c r="M108" s="49"/>
      <c r="N108" s="50"/>
      <c r="O108" s="53" t="s">
        <v>49</v>
      </c>
      <c r="P108" s="120"/>
      <c r="Q108" s="76"/>
    </row>
    <row r="109" spans="1:17" s="19" customFormat="1" ht="19.5" customHeight="1">
      <c r="A109" s="98"/>
      <c r="B109" s="94"/>
      <c r="C109" s="115"/>
      <c r="D109" s="16"/>
      <c r="E109" s="47">
        <f t="shared" si="25"/>
        <v>726.445</v>
      </c>
      <c r="F109" s="47"/>
      <c r="G109" s="52"/>
      <c r="H109" s="47">
        <f t="shared" si="26"/>
        <v>0</v>
      </c>
      <c r="I109" s="52"/>
      <c r="J109" s="48"/>
      <c r="K109" s="48"/>
      <c r="L109" s="49">
        <v>726.445</v>
      </c>
      <c r="M109" s="49"/>
      <c r="N109" s="50"/>
      <c r="O109" s="53" t="s">
        <v>50</v>
      </c>
      <c r="P109" s="120"/>
      <c r="Q109" s="76"/>
    </row>
    <row r="110" spans="1:17" s="19" customFormat="1" ht="19.5" customHeight="1">
      <c r="A110" s="99"/>
      <c r="B110" s="95"/>
      <c r="C110" s="101">
        <v>2024</v>
      </c>
      <c r="D110" s="16"/>
      <c r="E110" s="47">
        <f t="shared" si="25"/>
        <v>2937.311</v>
      </c>
      <c r="F110" s="47"/>
      <c r="G110" s="52"/>
      <c r="H110" s="47">
        <f t="shared" si="26"/>
        <v>0</v>
      </c>
      <c r="I110" s="52"/>
      <c r="J110" s="48"/>
      <c r="K110" s="48"/>
      <c r="L110" s="49">
        <v>2937.311</v>
      </c>
      <c r="M110" s="49"/>
      <c r="N110" s="50"/>
      <c r="O110" s="53" t="s">
        <v>49</v>
      </c>
      <c r="P110" s="120"/>
      <c r="Q110" s="76"/>
    </row>
    <row r="111" spans="1:17" s="19" customFormat="1" ht="19.5" customHeight="1">
      <c r="A111" s="99"/>
      <c r="B111" s="95"/>
      <c r="C111" s="102"/>
      <c r="D111" s="16"/>
      <c r="E111" s="47">
        <f>J111+L111+N111</f>
        <v>1608.61</v>
      </c>
      <c r="F111" s="47"/>
      <c r="G111" s="52"/>
      <c r="H111" s="47">
        <f>I111+J111</f>
        <v>0</v>
      </c>
      <c r="I111" s="52"/>
      <c r="J111" s="48"/>
      <c r="K111" s="48"/>
      <c r="L111" s="49">
        <v>1608.61</v>
      </c>
      <c r="M111" s="49"/>
      <c r="N111" s="50"/>
      <c r="O111" s="53" t="s">
        <v>50</v>
      </c>
      <c r="P111" s="120"/>
      <c r="Q111" s="76"/>
    </row>
    <row r="112" spans="1:17" s="19" customFormat="1" ht="19.5" customHeight="1">
      <c r="A112" s="99"/>
      <c r="B112" s="95"/>
      <c r="C112" s="101">
        <v>2025</v>
      </c>
      <c r="D112" s="16"/>
      <c r="E112" s="47">
        <f>J112+L112+N112</f>
        <v>2937.311</v>
      </c>
      <c r="F112" s="47"/>
      <c r="G112" s="52"/>
      <c r="H112" s="47">
        <f>I112+J112</f>
        <v>0</v>
      </c>
      <c r="I112" s="52"/>
      <c r="J112" s="48"/>
      <c r="K112" s="48"/>
      <c r="L112" s="49">
        <v>2937.311</v>
      </c>
      <c r="M112" s="49"/>
      <c r="N112" s="50"/>
      <c r="O112" s="53" t="s">
        <v>49</v>
      </c>
      <c r="P112" s="120"/>
      <c r="Q112" s="76"/>
    </row>
    <row r="113" spans="1:17" s="19" customFormat="1" ht="19.5" customHeight="1">
      <c r="A113" s="99"/>
      <c r="B113" s="95"/>
      <c r="C113" s="102"/>
      <c r="D113" s="16"/>
      <c r="E113" s="47">
        <f>J113+L113+N113</f>
        <v>1608.61</v>
      </c>
      <c r="F113" s="47"/>
      <c r="G113" s="52"/>
      <c r="H113" s="47">
        <f>I113+J113</f>
        <v>0</v>
      </c>
      <c r="I113" s="52"/>
      <c r="J113" s="48"/>
      <c r="K113" s="48"/>
      <c r="L113" s="49">
        <v>1608.61</v>
      </c>
      <c r="M113" s="49"/>
      <c r="N113" s="50"/>
      <c r="O113" s="53" t="s">
        <v>50</v>
      </c>
      <c r="P113" s="120"/>
      <c r="Q113" s="76"/>
    </row>
    <row r="114" spans="1:17" s="19" customFormat="1" ht="19.5" customHeight="1" hidden="1">
      <c r="A114" s="100"/>
      <c r="B114" s="96"/>
      <c r="C114" s="16"/>
      <c r="D114" s="16"/>
      <c r="E114" s="47"/>
      <c r="F114" s="47"/>
      <c r="G114" s="52"/>
      <c r="H114" s="47">
        <f>I114+J114</f>
        <v>0</v>
      </c>
      <c r="I114" s="52"/>
      <c r="J114" s="48"/>
      <c r="K114" s="48"/>
      <c r="L114" s="49"/>
      <c r="M114" s="49"/>
      <c r="N114" s="50"/>
      <c r="O114" s="53"/>
      <c r="P114" s="120"/>
      <c r="Q114" s="76"/>
    </row>
    <row r="115" spans="1:17" s="19" customFormat="1" ht="19.5" customHeight="1">
      <c r="A115" s="113" t="s">
        <v>51</v>
      </c>
      <c r="B115" s="93" t="s">
        <v>52</v>
      </c>
      <c r="C115" s="16">
        <v>2017</v>
      </c>
      <c r="D115" s="16"/>
      <c r="E115" s="47">
        <f t="shared" si="25"/>
        <v>4216.183</v>
      </c>
      <c r="F115" s="47"/>
      <c r="G115" s="52"/>
      <c r="H115" s="47">
        <f t="shared" si="26"/>
        <v>400</v>
      </c>
      <c r="I115" s="52"/>
      <c r="J115" s="48">
        <v>400</v>
      </c>
      <c r="K115" s="48"/>
      <c r="L115" s="49">
        <v>3016.183</v>
      </c>
      <c r="M115" s="49"/>
      <c r="N115" s="50">
        <v>800</v>
      </c>
      <c r="O115" s="53" t="s">
        <v>25</v>
      </c>
      <c r="P115" s="120"/>
      <c r="Q115" s="76"/>
    </row>
    <row r="116" spans="1:17" s="19" customFormat="1" ht="19.5" customHeight="1">
      <c r="A116" s="114"/>
      <c r="B116" s="94"/>
      <c r="C116" s="16">
        <v>2018</v>
      </c>
      <c r="D116" s="16"/>
      <c r="E116" s="47">
        <f t="shared" si="25"/>
        <v>4244.3846699999995</v>
      </c>
      <c r="F116" s="47"/>
      <c r="G116" s="52"/>
      <c r="H116" s="47">
        <f t="shared" si="26"/>
        <v>683</v>
      </c>
      <c r="I116" s="52"/>
      <c r="J116" s="48">
        <v>683</v>
      </c>
      <c r="K116" s="48"/>
      <c r="L116" s="49">
        <v>2446.61067</v>
      </c>
      <c r="M116" s="49"/>
      <c r="N116" s="50">
        <v>1114.774</v>
      </c>
      <c r="O116" s="53" t="s">
        <v>25</v>
      </c>
      <c r="P116" s="120"/>
      <c r="Q116" s="76"/>
    </row>
    <row r="117" spans="1:17" s="19" customFormat="1" ht="19.5" customHeight="1">
      <c r="A117" s="114"/>
      <c r="B117" s="94"/>
      <c r="C117" s="115">
        <v>2019</v>
      </c>
      <c r="D117" s="16"/>
      <c r="E117" s="47">
        <f t="shared" si="25"/>
        <v>5176.28063</v>
      </c>
      <c r="F117" s="47"/>
      <c r="G117" s="52"/>
      <c r="H117" s="47">
        <f t="shared" si="26"/>
        <v>585.029</v>
      </c>
      <c r="I117" s="52"/>
      <c r="J117" s="48">
        <f>721.445-136.416</f>
        <v>585.029</v>
      </c>
      <c r="K117" s="48"/>
      <c r="L117" s="49">
        <f>3041.47163+39.4</f>
        <v>3080.87163</v>
      </c>
      <c r="M117" s="49"/>
      <c r="N117" s="50">
        <v>1510.38</v>
      </c>
      <c r="O117" s="53" t="s">
        <v>25</v>
      </c>
      <c r="P117" s="120"/>
      <c r="Q117" s="76"/>
    </row>
    <row r="118" spans="1:17" s="19" customFormat="1" ht="19.5" customHeight="1">
      <c r="A118" s="114"/>
      <c r="B118" s="94"/>
      <c r="C118" s="115"/>
      <c r="D118" s="16"/>
      <c r="E118" s="47">
        <f t="shared" si="25"/>
        <v>12.474</v>
      </c>
      <c r="F118" s="47"/>
      <c r="G118" s="52"/>
      <c r="H118" s="47">
        <f t="shared" si="26"/>
        <v>12.474</v>
      </c>
      <c r="I118" s="52"/>
      <c r="J118" s="48">
        <v>12.474</v>
      </c>
      <c r="K118" s="48"/>
      <c r="L118" s="49">
        <v>0</v>
      </c>
      <c r="M118" s="49"/>
      <c r="N118" s="50">
        <v>0</v>
      </c>
      <c r="O118" s="53" t="s">
        <v>53</v>
      </c>
      <c r="P118" s="120"/>
      <c r="Q118" s="76"/>
    </row>
    <row r="119" spans="1:17" s="19" customFormat="1" ht="19.5" customHeight="1">
      <c r="A119" s="114"/>
      <c r="B119" s="94"/>
      <c r="C119" s="115">
        <v>2020</v>
      </c>
      <c r="D119" s="16"/>
      <c r="E119" s="47">
        <f t="shared" si="25"/>
        <v>0</v>
      </c>
      <c r="F119" s="47"/>
      <c r="G119" s="52"/>
      <c r="H119" s="47">
        <f t="shared" si="26"/>
        <v>0</v>
      </c>
      <c r="I119" s="52"/>
      <c r="J119" s="48">
        <f>855-855</f>
        <v>0</v>
      </c>
      <c r="K119" s="48"/>
      <c r="L119" s="49">
        <f>127.8-127.8</f>
        <v>0</v>
      </c>
      <c r="M119" s="49"/>
      <c r="N119" s="50">
        <f>1044-1044</f>
        <v>0</v>
      </c>
      <c r="O119" s="53" t="s">
        <v>25</v>
      </c>
      <c r="P119" s="120"/>
      <c r="Q119" s="76"/>
    </row>
    <row r="120" spans="1:17" s="19" customFormat="1" ht="19.5" customHeight="1">
      <c r="A120" s="114"/>
      <c r="B120" s="94"/>
      <c r="C120" s="115"/>
      <c r="D120" s="16"/>
      <c r="E120" s="47">
        <f t="shared" si="25"/>
        <v>58.01799999999997</v>
      </c>
      <c r="F120" s="47"/>
      <c r="G120" s="52"/>
      <c r="H120" s="47">
        <f t="shared" si="26"/>
        <v>0</v>
      </c>
      <c r="I120" s="52"/>
      <c r="J120" s="48"/>
      <c r="K120" s="48"/>
      <c r="L120" s="49">
        <f>1099.925+0.2-646.302-395.805</f>
        <v>58.01799999999997</v>
      </c>
      <c r="M120" s="49"/>
      <c r="N120" s="50"/>
      <c r="O120" s="53" t="s">
        <v>54</v>
      </c>
      <c r="P120" s="120"/>
      <c r="Q120" s="76"/>
    </row>
    <row r="121" spans="1:17" s="19" customFormat="1" ht="19.5" customHeight="1">
      <c r="A121" s="114"/>
      <c r="B121" s="94"/>
      <c r="C121" s="115"/>
      <c r="D121" s="16"/>
      <c r="E121" s="47">
        <f t="shared" si="25"/>
        <v>0</v>
      </c>
      <c r="F121" s="47"/>
      <c r="G121" s="52"/>
      <c r="H121" s="47">
        <f t="shared" si="26"/>
        <v>0</v>
      </c>
      <c r="I121" s="52"/>
      <c r="J121" s="48"/>
      <c r="K121" s="48"/>
      <c r="L121" s="49">
        <f>2273.075-983.897-1289.178</f>
        <v>0</v>
      </c>
      <c r="M121" s="49"/>
      <c r="N121" s="50"/>
      <c r="O121" s="53" t="s">
        <v>55</v>
      </c>
      <c r="P121" s="120"/>
      <c r="Q121" s="76"/>
    </row>
    <row r="122" spans="1:17" s="19" customFormat="1" ht="19.5" customHeight="1">
      <c r="A122" s="114"/>
      <c r="B122" s="94"/>
      <c r="C122" s="115">
        <v>2021</v>
      </c>
      <c r="D122" s="16"/>
      <c r="E122" s="47">
        <f t="shared" si="25"/>
        <v>1521.1534000000001</v>
      </c>
      <c r="F122" s="47"/>
      <c r="G122" s="52"/>
      <c r="H122" s="47">
        <f t="shared" si="26"/>
        <v>290.4</v>
      </c>
      <c r="I122" s="52"/>
      <c r="J122" s="47">
        <f>J123+J124</f>
        <v>290.4</v>
      </c>
      <c r="K122" s="47"/>
      <c r="L122" s="54">
        <f>L123+L124</f>
        <v>762.7534</v>
      </c>
      <c r="M122" s="54"/>
      <c r="N122" s="52">
        <v>468</v>
      </c>
      <c r="O122" s="53" t="s">
        <v>56</v>
      </c>
      <c r="P122" s="120"/>
      <c r="Q122" s="76"/>
    </row>
    <row r="123" spans="1:17" s="19" customFormat="1" ht="19.5" customHeight="1">
      <c r="A123" s="114"/>
      <c r="B123" s="94"/>
      <c r="C123" s="115"/>
      <c r="D123" s="16"/>
      <c r="E123" s="47">
        <f t="shared" si="25"/>
        <v>419.12712</v>
      </c>
      <c r="F123" s="47"/>
      <c r="G123" s="52"/>
      <c r="H123" s="47">
        <f t="shared" si="26"/>
        <v>290.4</v>
      </c>
      <c r="I123" s="52"/>
      <c r="J123" s="48">
        <v>290.4</v>
      </c>
      <c r="K123" s="48"/>
      <c r="L123" s="49">
        <f>128.72712</f>
        <v>128.72712</v>
      </c>
      <c r="M123" s="49"/>
      <c r="N123" s="50"/>
      <c r="O123" s="53" t="s">
        <v>57</v>
      </c>
      <c r="P123" s="120"/>
      <c r="Q123" s="76"/>
    </row>
    <row r="124" spans="1:17" s="19" customFormat="1" ht="19.5" customHeight="1">
      <c r="A124" s="114"/>
      <c r="B124" s="94"/>
      <c r="C124" s="115"/>
      <c r="D124" s="16"/>
      <c r="E124" s="47">
        <f t="shared" si="25"/>
        <v>634.02628</v>
      </c>
      <c r="F124" s="47"/>
      <c r="G124" s="52"/>
      <c r="H124" s="47">
        <f t="shared" si="26"/>
        <v>0</v>
      </c>
      <c r="I124" s="52"/>
      <c r="J124" s="48">
        <v>0</v>
      </c>
      <c r="K124" s="48"/>
      <c r="L124" s="49">
        <v>634.02628</v>
      </c>
      <c r="M124" s="49"/>
      <c r="N124" s="50"/>
      <c r="O124" s="53" t="s">
        <v>55</v>
      </c>
      <c r="P124" s="120"/>
      <c r="Q124" s="76"/>
    </row>
    <row r="125" spans="1:17" s="19" customFormat="1" ht="19.5" customHeight="1">
      <c r="A125" s="114"/>
      <c r="B125" s="94"/>
      <c r="C125" s="115">
        <v>2022</v>
      </c>
      <c r="D125" s="16"/>
      <c r="E125" s="47">
        <f aca="true" t="shared" si="27" ref="E125:N125">E126+E127+E128</f>
        <v>4218.61136</v>
      </c>
      <c r="F125" s="47">
        <f t="shared" si="27"/>
        <v>0</v>
      </c>
      <c r="G125" s="47">
        <f t="shared" si="27"/>
        <v>0</v>
      </c>
      <c r="H125" s="47">
        <f t="shared" si="27"/>
        <v>848.925</v>
      </c>
      <c r="I125" s="47">
        <f t="shared" si="27"/>
        <v>0</v>
      </c>
      <c r="J125" s="47">
        <f t="shared" si="27"/>
        <v>848.925</v>
      </c>
      <c r="K125" s="47">
        <f t="shared" si="27"/>
        <v>0</v>
      </c>
      <c r="L125" s="47">
        <f t="shared" si="27"/>
        <v>2620.88636</v>
      </c>
      <c r="M125" s="47">
        <f t="shared" si="27"/>
        <v>0</v>
      </c>
      <c r="N125" s="47">
        <f t="shared" si="27"/>
        <v>748.8</v>
      </c>
      <c r="O125" s="53" t="s">
        <v>58</v>
      </c>
      <c r="P125" s="120"/>
      <c r="Q125" s="76"/>
    </row>
    <row r="126" spans="1:17" s="19" customFormat="1" ht="19.5" customHeight="1">
      <c r="A126" s="114"/>
      <c r="B126" s="94"/>
      <c r="C126" s="115"/>
      <c r="D126" s="16"/>
      <c r="E126" s="47">
        <f>J126+L126+N126</f>
        <v>1726.35</v>
      </c>
      <c r="F126" s="47"/>
      <c r="G126" s="52"/>
      <c r="H126" s="47">
        <f>I126+J126</f>
        <v>848.925</v>
      </c>
      <c r="I126" s="52"/>
      <c r="J126" s="48">
        <v>848.925</v>
      </c>
      <c r="K126" s="48"/>
      <c r="L126" s="49">
        <v>128.625</v>
      </c>
      <c r="M126" s="49"/>
      <c r="N126" s="50">
        <v>748.8</v>
      </c>
      <c r="O126" s="53" t="s">
        <v>58</v>
      </c>
      <c r="P126" s="120"/>
      <c r="Q126" s="76"/>
    </row>
    <row r="127" spans="1:17" s="19" customFormat="1" ht="19.5" customHeight="1">
      <c r="A127" s="114"/>
      <c r="B127" s="94"/>
      <c r="C127" s="115"/>
      <c r="D127" s="16"/>
      <c r="E127" s="47">
        <f t="shared" si="25"/>
        <v>544.74469</v>
      </c>
      <c r="F127" s="47"/>
      <c r="G127" s="52"/>
      <c r="H127" s="47">
        <f t="shared" si="26"/>
        <v>0</v>
      </c>
      <c r="I127" s="52"/>
      <c r="J127" s="48">
        <v>0</v>
      </c>
      <c r="K127" s="48"/>
      <c r="L127" s="49">
        <v>544.74469</v>
      </c>
      <c r="M127" s="49"/>
      <c r="N127" s="50"/>
      <c r="O127" s="53" t="s">
        <v>57</v>
      </c>
      <c r="P127" s="120"/>
      <c r="Q127" s="76"/>
    </row>
    <row r="128" spans="1:17" s="19" customFormat="1" ht="19.5" customHeight="1">
      <c r="A128" s="114"/>
      <c r="B128" s="94"/>
      <c r="C128" s="115"/>
      <c r="D128" s="16"/>
      <c r="E128" s="47">
        <f t="shared" si="25"/>
        <v>1947.51667</v>
      </c>
      <c r="F128" s="47"/>
      <c r="G128" s="52"/>
      <c r="H128" s="47">
        <f t="shared" si="26"/>
        <v>0</v>
      </c>
      <c r="I128" s="52"/>
      <c r="J128" s="48">
        <v>0</v>
      </c>
      <c r="K128" s="48"/>
      <c r="L128" s="49">
        <v>1947.51667</v>
      </c>
      <c r="M128" s="49"/>
      <c r="N128" s="50"/>
      <c r="O128" s="53" t="s">
        <v>55</v>
      </c>
      <c r="P128" s="120"/>
      <c r="Q128" s="76"/>
    </row>
    <row r="129" spans="1:17" s="19" customFormat="1" ht="19.5" customHeight="1">
      <c r="A129" s="114"/>
      <c r="B129" s="94"/>
      <c r="C129" s="115">
        <v>2023</v>
      </c>
      <c r="D129" s="16"/>
      <c r="E129" s="47">
        <f t="shared" si="25"/>
        <v>1160.9</v>
      </c>
      <c r="F129" s="47"/>
      <c r="G129" s="52"/>
      <c r="H129" s="47">
        <f t="shared" si="26"/>
        <v>1010</v>
      </c>
      <c r="I129" s="52"/>
      <c r="J129" s="48">
        <v>1010</v>
      </c>
      <c r="K129" s="48"/>
      <c r="L129" s="49">
        <v>150.9</v>
      </c>
      <c r="M129" s="49"/>
      <c r="N129" s="50"/>
      <c r="O129" s="53" t="s">
        <v>58</v>
      </c>
      <c r="P129" s="120"/>
      <c r="Q129" s="76"/>
    </row>
    <row r="130" spans="1:17" s="19" customFormat="1" ht="19.5" customHeight="1">
      <c r="A130" s="114"/>
      <c r="B130" s="94"/>
      <c r="C130" s="115"/>
      <c r="D130" s="16"/>
      <c r="E130" s="47">
        <f t="shared" si="25"/>
        <v>952.635</v>
      </c>
      <c r="F130" s="47"/>
      <c r="G130" s="52"/>
      <c r="H130" s="47">
        <f t="shared" si="26"/>
        <v>0</v>
      </c>
      <c r="I130" s="52"/>
      <c r="J130" s="48">
        <v>0</v>
      </c>
      <c r="K130" s="48"/>
      <c r="L130" s="49">
        <v>952.635</v>
      </c>
      <c r="M130" s="49"/>
      <c r="N130" s="50"/>
      <c r="O130" s="53" t="s">
        <v>57</v>
      </c>
      <c r="P130" s="120"/>
      <c r="Q130" s="76"/>
    </row>
    <row r="131" spans="1:17" s="19" customFormat="1" ht="19.5" customHeight="1">
      <c r="A131" s="114"/>
      <c r="B131" s="94"/>
      <c r="C131" s="115"/>
      <c r="D131" s="16"/>
      <c r="E131" s="47">
        <f t="shared" si="25"/>
        <v>1948.305</v>
      </c>
      <c r="F131" s="47"/>
      <c r="G131" s="52"/>
      <c r="H131" s="47">
        <f t="shared" si="26"/>
        <v>0</v>
      </c>
      <c r="I131" s="52"/>
      <c r="J131" s="48">
        <v>0</v>
      </c>
      <c r="K131" s="48"/>
      <c r="L131" s="49">
        <v>1948.305</v>
      </c>
      <c r="M131" s="49"/>
      <c r="N131" s="50"/>
      <c r="O131" s="53" t="s">
        <v>55</v>
      </c>
      <c r="P131" s="120"/>
      <c r="Q131" s="76"/>
    </row>
    <row r="132" spans="1:17" s="19" customFormat="1" ht="19.5" customHeight="1">
      <c r="A132" s="114"/>
      <c r="B132" s="94"/>
      <c r="C132" s="115">
        <v>2024</v>
      </c>
      <c r="D132" s="16"/>
      <c r="E132" s="47">
        <f>J132+L132+N132</f>
        <v>1161.6</v>
      </c>
      <c r="F132" s="47"/>
      <c r="G132" s="52"/>
      <c r="H132" s="47">
        <f>I132+J132</f>
        <v>1010</v>
      </c>
      <c r="I132" s="52"/>
      <c r="J132" s="48">
        <v>1010</v>
      </c>
      <c r="K132" s="48"/>
      <c r="L132" s="49">
        <v>151.6</v>
      </c>
      <c r="M132" s="49"/>
      <c r="N132" s="50"/>
      <c r="O132" s="53" t="s">
        <v>58</v>
      </c>
      <c r="P132" s="120"/>
      <c r="Q132" s="76"/>
    </row>
    <row r="133" spans="1:17" s="19" customFormat="1" ht="19.5" customHeight="1">
      <c r="A133" s="114"/>
      <c r="B133" s="94"/>
      <c r="C133" s="115"/>
      <c r="D133" s="16"/>
      <c r="E133" s="47">
        <f>J133+L133+N133</f>
        <v>773.306</v>
      </c>
      <c r="F133" s="47"/>
      <c r="G133" s="52"/>
      <c r="H133" s="47">
        <f>I133+J133</f>
        <v>0</v>
      </c>
      <c r="I133" s="52"/>
      <c r="J133" s="48">
        <v>0</v>
      </c>
      <c r="K133" s="48"/>
      <c r="L133" s="49">
        <v>773.306</v>
      </c>
      <c r="M133" s="49"/>
      <c r="N133" s="50"/>
      <c r="O133" s="53" t="s">
        <v>57</v>
      </c>
      <c r="P133" s="120"/>
      <c r="Q133" s="76"/>
    </row>
    <row r="134" spans="1:17" s="19" customFormat="1" ht="19.5" customHeight="1">
      <c r="A134" s="114"/>
      <c r="B134" s="94"/>
      <c r="C134" s="115"/>
      <c r="D134" s="16"/>
      <c r="E134" s="47">
        <f>J134+L134+N134</f>
        <v>2065.203</v>
      </c>
      <c r="F134" s="47"/>
      <c r="G134" s="52"/>
      <c r="H134" s="47">
        <f>I134+J134</f>
        <v>0</v>
      </c>
      <c r="I134" s="52"/>
      <c r="J134" s="48">
        <v>0</v>
      </c>
      <c r="K134" s="48"/>
      <c r="L134" s="49">
        <v>2065.203</v>
      </c>
      <c r="M134" s="49"/>
      <c r="N134" s="50"/>
      <c r="O134" s="53" t="s">
        <v>55</v>
      </c>
      <c r="P134" s="120"/>
      <c r="Q134" s="76"/>
    </row>
    <row r="135" spans="1:17" s="19" customFormat="1" ht="19.5" customHeight="1">
      <c r="A135" s="99"/>
      <c r="B135" s="95"/>
      <c r="C135" s="115">
        <v>2025</v>
      </c>
      <c r="D135" s="16"/>
      <c r="E135" s="47">
        <f t="shared" si="25"/>
        <v>1161.6</v>
      </c>
      <c r="F135" s="47"/>
      <c r="G135" s="52"/>
      <c r="H135" s="47">
        <f t="shared" si="26"/>
        <v>1010</v>
      </c>
      <c r="I135" s="52"/>
      <c r="J135" s="48">
        <v>1010</v>
      </c>
      <c r="K135" s="48"/>
      <c r="L135" s="49">
        <v>151.6</v>
      </c>
      <c r="M135" s="49"/>
      <c r="N135" s="50"/>
      <c r="O135" s="53" t="s">
        <v>58</v>
      </c>
      <c r="P135" s="120"/>
      <c r="Q135" s="76"/>
    </row>
    <row r="136" spans="1:17" s="19" customFormat="1" ht="19.5" customHeight="1">
      <c r="A136" s="99"/>
      <c r="B136" s="95"/>
      <c r="C136" s="115"/>
      <c r="D136" s="16"/>
      <c r="E136" s="47">
        <f t="shared" si="25"/>
        <v>773.306</v>
      </c>
      <c r="F136" s="47"/>
      <c r="G136" s="52"/>
      <c r="H136" s="47">
        <f t="shared" si="26"/>
        <v>0</v>
      </c>
      <c r="I136" s="52"/>
      <c r="J136" s="48">
        <v>0</v>
      </c>
      <c r="K136" s="48"/>
      <c r="L136" s="49">
        <v>773.306</v>
      </c>
      <c r="M136" s="49"/>
      <c r="N136" s="50"/>
      <c r="O136" s="53" t="s">
        <v>57</v>
      </c>
      <c r="P136" s="120"/>
      <c r="Q136" s="76"/>
    </row>
    <row r="137" spans="1:17" s="19" customFormat="1" ht="19.5" customHeight="1">
      <c r="A137" s="100"/>
      <c r="B137" s="96"/>
      <c r="C137" s="115"/>
      <c r="D137" s="16"/>
      <c r="E137" s="47">
        <f t="shared" si="25"/>
        <v>2065.203</v>
      </c>
      <c r="F137" s="47"/>
      <c r="G137" s="52"/>
      <c r="H137" s="47">
        <f t="shared" si="26"/>
        <v>0</v>
      </c>
      <c r="I137" s="52"/>
      <c r="J137" s="48">
        <v>0</v>
      </c>
      <c r="K137" s="48"/>
      <c r="L137" s="49">
        <v>2065.203</v>
      </c>
      <c r="M137" s="49"/>
      <c r="N137" s="50"/>
      <c r="O137" s="53" t="s">
        <v>55</v>
      </c>
      <c r="P137" s="122"/>
      <c r="Q137" s="76"/>
    </row>
    <row r="138" spans="1:17" s="19" customFormat="1" ht="19.5" customHeight="1">
      <c r="A138" s="89" t="s">
        <v>59</v>
      </c>
      <c r="B138" s="124" t="s">
        <v>60</v>
      </c>
      <c r="C138" s="16">
        <v>2017</v>
      </c>
      <c r="D138" s="16"/>
      <c r="E138" s="47">
        <f>G138+H138+L138+N138</f>
        <v>0</v>
      </c>
      <c r="F138" s="38"/>
      <c r="G138" s="38"/>
      <c r="H138" s="47">
        <f t="shared" si="26"/>
        <v>0</v>
      </c>
      <c r="I138" s="38"/>
      <c r="J138" s="50">
        <v>0</v>
      </c>
      <c r="K138" s="55"/>
      <c r="L138" s="49">
        <v>0</v>
      </c>
      <c r="M138" s="43"/>
      <c r="N138" s="17"/>
      <c r="O138" s="53" t="s">
        <v>25</v>
      </c>
      <c r="P138" s="119" t="s">
        <v>61</v>
      </c>
      <c r="Q138" s="76"/>
    </row>
    <row r="139" spans="1:17" s="19" customFormat="1" ht="14.25" customHeight="1">
      <c r="A139" s="89"/>
      <c r="B139" s="124"/>
      <c r="C139" s="134">
        <v>2018</v>
      </c>
      <c r="D139" s="31"/>
      <c r="E139" s="131">
        <f>G139+H139+L139+N139</f>
        <v>833.5521299999999</v>
      </c>
      <c r="F139" s="38"/>
      <c r="G139" s="124"/>
      <c r="H139" s="131">
        <f t="shared" si="26"/>
        <v>0</v>
      </c>
      <c r="I139" s="124"/>
      <c r="J139" s="135">
        <v>0</v>
      </c>
      <c r="K139" s="39"/>
      <c r="L139" s="137">
        <f>859.059-25.50687</f>
        <v>833.5521299999999</v>
      </c>
      <c r="M139" s="42"/>
      <c r="N139" s="134"/>
      <c r="O139" s="132" t="s">
        <v>25</v>
      </c>
      <c r="P139" s="120"/>
      <c r="Q139" s="76"/>
    </row>
    <row r="140" spans="1:17" s="19" customFormat="1" ht="11.25" customHeight="1">
      <c r="A140" s="89"/>
      <c r="B140" s="124"/>
      <c r="C140" s="134"/>
      <c r="D140" s="31"/>
      <c r="E140" s="131"/>
      <c r="F140" s="38"/>
      <c r="G140" s="124"/>
      <c r="H140" s="131"/>
      <c r="I140" s="124"/>
      <c r="J140" s="135"/>
      <c r="K140" s="39"/>
      <c r="L140" s="137"/>
      <c r="M140" s="42"/>
      <c r="N140" s="134"/>
      <c r="O140" s="132"/>
      <c r="P140" s="120"/>
      <c r="Q140" s="76"/>
    </row>
    <row r="141" spans="1:17" s="19" customFormat="1" ht="3.75" customHeight="1">
      <c r="A141" s="89"/>
      <c r="B141" s="124"/>
      <c r="C141" s="134"/>
      <c r="D141" s="31"/>
      <c r="E141" s="131"/>
      <c r="F141" s="38"/>
      <c r="G141" s="124"/>
      <c r="H141" s="131"/>
      <c r="I141" s="124"/>
      <c r="J141" s="135"/>
      <c r="K141" s="39"/>
      <c r="L141" s="137"/>
      <c r="M141" s="42"/>
      <c r="N141" s="134"/>
      <c r="O141" s="132"/>
      <c r="P141" s="120"/>
      <c r="Q141" s="76"/>
    </row>
    <row r="142" spans="1:17" s="19" customFormat="1" ht="19.5" customHeight="1">
      <c r="A142" s="89"/>
      <c r="B142" s="124"/>
      <c r="C142" s="16">
        <v>2019</v>
      </c>
      <c r="D142" s="16"/>
      <c r="E142" s="47">
        <f aca="true" t="shared" si="28" ref="E142:E148">G142+H142+L142+N142</f>
        <v>731</v>
      </c>
      <c r="F142" s="38"/>
      <c r="G142" s="38"/>
      <c r="H142" s="47">
        <f aca="true" t="shared" si="29" ref="H142:H178">I142+J142</f>
        <v>0</v>
      </c>
      <c r="I142" s="38"/>
      <c r="J142" s="48">
        <v>0</v>
      </c>
      <c r="K142" s="55"/>
      <c r="L142" s="49">
        <v>731</v>
      </c>
      <c r="M142" s="43"/>
      <c r="N142" s="17"/>
      <c r="O142" s="133" t="s">
        <v>25</v>
      </c>
      <c r="P142" s="120"/>
      <c r="Q142" s="76"/>
    </row>
    <row r="143" spans="1:17" s="19" customFormat="1" ht="19.5" customHeight="1">
      <c r="A143" s="89"/>
      <c r="B143" s="124"/>
      <c r="C143" s="16">
        <v>2020</v>
      </c>
      <c r="D143" s="16"/>
      <c r="E143" s="47">
        <f t="shared" si="28"/>
        <v>0</v>
      </c>
      <c r="F143" s="38"/>
      <c r="G143" s="38"/>
      <c r="H143" s="47">
        <f t="shared" si="29"/>
        <v>0</v>
      </c>
      <c r="I143" s="38"/>
      <c r="J143" s="48">
        <v>0</v>
      </c>
      <c r="K143" s="55"/>
      <c r="L143" s="49">
        <v>0</v>
      </c>
      <c r="M143" s="43"/>
      <c r="N143" s="17"/>
      <c r="O143" s="133"/>
      <c r="P143" s="120"/>
      <c r="Q143" s="76"/>
    </row>
    <row r="144" spans="1:17" s="19" customFormat="1" ht="19.5" customHeight="1">
      <c r="A144" s="89"/>
      <c r="B144" s="124"/>
      <c r="C144" s="16">
        <v>2021</v>
      </c>
      <c r="D144" s="16"/>
      <c r="E144" s="47">
        <f t="shared" si="28"/>
        <v>1181.324</v>
      </c>
      <c r="F144" s="38"/>
      <c r="G144" s="38"/>
      <c r="H144" s="47">
        <f t="shared" si="29"/>
        <v>0</v>
      </c>
      <c r="I144" s="38"/>
      <c r="J144" s="48">
        <v>0</v>
      </c>
      <c r="K144" s="55"/>
      <c r="L144" s="49">
        <v>1181.324</v>
      </c>
      <c r="M144" s="43"/>
      <c r="N144" s="17"/>
      <c r="O144" s="133"/>
      <c r="P144" s="120"/>
      <c r="Q144" s="76"/>
    </row>
    <row r="145" spans="1:17" s="19" customFormat="1" ht="18.75" customHeight="1">
      <c r="A145" s="89"/>
      <c r="B145" s="124"/>
      <c r="C145" s="16">
        <v>2022</v>
      </c>
      <c r="D145" s="16"/>
      <c r="E145" s="47">
        <f t="shared" si="28"/>
        <v>3886.2</v>
      </c>
      <c r="F145" s="38"/>
      <c r="G145" s="38"/>
      <c r="H145" s="47">
        <f t="shared" si="29"/>
        <v>3381</v>
      </c>
      <c r="I145" s="38"/>
      <c r="J145" s="48">
        <v>3381</v>
      </c>
      <c r="K145" s="55"/>
      <c r="L145" s="49">
        <v>505.2</v>
      </c>
      <c r="M145" s="43"/>
      <c r="N145" s="17"/>
      <c r="O145" s="133"/>
      <c r="P145" s="120"/>
      <c r="Q145" s="76"/>
    </row>
    <row r="146" spans="1:17" s="19" customFormat="1" ht="18.75" customHeight="1">
      <c r="A146" s="89"/>
      <c r="B146" s="124"/>
      <c r="C146" s="16">
        <v>2023</v>
      </c>
      <c r="D146" s="16"/>
      <c r="E146" s="47">
        <f t="shared" si="28"/>
        <v>200.001</v>
      </c>
      <c r="F146" s="38"/>
      <c r="G146" s="38"/>
      <c r="H146" s="47">
        <f t="shared" si="29"/>
        <v>174.02</v>
      </c>
      <c r="I146" s="38"/>
      <c r="J146" s="48">
        <v>174.02</v>
      </c>
      <c r="K146" s="55"/>
      <c r="L146" s="49">
        <v>25.981</v>
      </c>
      <c r="M146" s="43"/>
      <c r="N146" s="17"/>
      <c r="O146" s="53"/>
      <c r="P146" s="120"/>
      <c r="Q146" s="76"/>
    </row>
    <row r="147" spans="1:17" s="19" customFormat="1" ht="21.75" customHeight="1">
      <c r="A147" s="89"/>
      <c r="B147" s="124"/>
      <c r="C147" s="16">
        <v>2024</v>
      </c>
      <c r="D147" s="16"/>
      <c r="E147" s="47">
        <f>G147+H147+L147+N147</f>
        <v>1149.4</v>
      </c>
      <c r="F147" s="38"/>
      <c r="G147" s="38"/>
      <c r="H147" s="47">
        <f>I147+J147</f>
        <v>1000</v>
      </c>
      <c r="I147" s="38"/>
      <c r="J147" s="48">
        <v>1000</v>
      </c>
      <c r="K147" s="55"/>
      <c r="L147" s="49">
        <v>149.4</v>
      </c>
      <c r="M147" s="43"/>
      <c r="N147" s="17"/>
      <c r="O147" s="53"/>
      <c r="P147" s="120"/>
      <c r="Q147" s="76"/>
    </row>
    <row r="148" spans="1:17" s="19" customFormat="1" ht="21.75" customHeight="1">
      <c r="A148" s="89"/>
      <c r="B148" s="124"/>
      <c r="C148" s="16">
        <v>2025</v>
      </c>
      <c r="D148" s="16"/>
      <c r="E148" s="47">
        <f t="shared" si="28"/>
        <v>1149.4</v>
      </c>
      <c r="F148" s="38"/>
      <c r="G148" s="38"/>
      <c r="H148" s="47">
        <f t="shared" si="29"/>
        <v>1000</v>
      </c>
      <c r="I148" s="38"/>
      <c r="J148" s="48">
        <v>1000</v>
      </c>
      <c r="K148" s="55"/>
      <c r="L148" s="49">
        <v>149.4</v>
      </c>
      <c r="M148" s="43"/>
      <c r="N148" s="17"/>
      <c r="O148" s="53"/>
      <c r="P148" s="120"/>
      <c r="Q148" s="76"/>
    </row>
    <row r="149" spans="1:17" s="19" customFormat="1" ht="19.5" customHeight="1">
      <c r="A149" s="89" t="s">
        <v>62</v>
      </c>
      <c r="B149" s="124" t="s">
        <v>63</v>
      </c>
      <c r="C149" s="115">
        <v>2017</v>
      </c>
      <c r="D149" s="38"/>
      <c r="E149" s="131">
        <f>L149+L150</f>
        <v>677.256</v>
      </c>
      <c r="F149" s="56"/>
      <c r="G149" s="56"/>
      <c r="H149" s="47">
        <f t="shared" si="29"/>
        <v>0</v>
      </c>
      <c r="I149" s="56"/>
      <c r="J149" s="48">
        <v>0</v>
      </c>
      <c r="K149" s="136"/>
      <c r="L149" s="49">
        <v>372.376</v>
      </c>
      <c r="M149" s="43"/>
      <c r="N149" s="17"/>
      <c r="O149" s="51" t="s">
        <v>64</v>
      </c>
      <c r="P149" s="120"/>
      <c r="Q149" s="76"/>
    </row>
    <row r="150" spans="1:17" s="19" customFormat="1" ht="19.5" customHeight="1">
      <c r="A150" s="89"/>
      <c r="B150" s="124"/>
      <c r="C150" s="115"/>
      <c r="D150" s="38"/>
      <c r="E150" s="131"/>
      <c r="F150" s="56"/>
      <c r="G150" s="56"/>
      <c r="H150" s="47">
        <f t="shared" si="29"/>
        <v>0</v>
      </c>
      <c r="I150" s="56"/>
      <c r="J150" s="48">
        <v>0</v>
      </c>
      <c r="K150" s="136"/>
      <c r="L150" s="49">
        <v>304.88</v>
      </c>
      <c r="M150" s="43"/>
      <c r="N150" s="17"/>
      <c r="O150" s="53" t="s">
        <v>25</v>
      </c>
      <c r="P150" s="120"/>
      <c r="Q150" s="76"/>
    </row>
    <row r="151" spans="1:17" s="19" customFormat="1" ht="19.5" customHeight="1">
      <c r="A151" s="89"/>
      <c r="B151" s="124"/>
      <c r="C151" s="16">
        <v>2018</v>
      </c>
      <c r="D151" s="38"/>
      <c r="E151" s="37">
        <f aca="true" t="shared" si="30" ref="E151:E164">G151+H151+L151+N151</f>
        <v>662.365</v>
      </c>
      <c r="F151" s="56"/>
      <c r="G151" s="56"/>
      <c r="H151" s="47">
        <f t="shared" si="29"/>
        <v>0</v>
      </c>
      <c r="I151" s="56"/>
      <c r="J151" s="48">
        <v>0</v>
      </c>
      <c r="K151" s="136"/>
      <c r="L151" s="49">
        <f>698.578-36.213</f>
        <v>662.365</v>
      </c>
      <c r="M151" s="43"/>
      <c r="N151" s="17"/>
      <c r="O151" s="53" t="s">
        <v>64</v>
      </c>
      <c r="P151" s="120"/>
      <c r="Q151" s="76"/>
    </row>
    <row r="152" spans="1:17" s="19" customFormat="1" ht="19.5" customHeight="1">
      <c r="A152" s="89"/>
      <c r="B152" s="124"/>
      <c r="C152" s="16">
        <v>2019</v>
      </c>
      <c r="D152" s="38"/>
      <c r="E152" s="37">
        <f t="shared" si="30"/>
        <v>1186.36019</v>
      </c>
      <c r="F152" s="56"/>
      <c r="G152" s="56"/>
      <c r="H152" s="47">
        <f t="shared" si="29"/>
        <v>0</v>
      </c>
      <c r="I152" s="56"/>
      <c r="J152" s="48">
        <v>0</v>
      </c>
      <c r="K152" s="136"/>
      <c r="L152" s="49">
        <f>1186.36019+200-200</f>
        <v>1186.36019</v>
      </c>
      <c r="M152" s="43"/>
      <c r="N152" s="17"/>
      <c r="O152" s="53" t="s">
        <v>64</v>
      </c>
      <c r="P152" s="120"/>
      <c r="Q152" s="76"/>
    </row>
    <row r="153" spans="1:17" s="19" customFormat="1" ht="24" customHeight="1">
      <c r="A153" s="89"/>
      <c r="B153" s="124"/>
      <c r="C153" s="16">
        <v>2019</v>
      </c>
      <c r="D153" s="38"/>
      <c r="E153" s="37">
        <f t="shared" si="30"/>
        <v>175.332</v>
      </c>
      <c r="F153" s="56"/>
      <c r="G153" s="56"/>
      <c r="H153" s="47">
        <f t="shared" si="29"/>
        <v>0</v>
      </c>
      <c r="I153" s="56"/>
      <c r="J153" s="48">
        <v>0</v>
      </c>
      <c r="K153" s="48"/>
      <c r="L153" s="49">
        <f>246.906-71.574</f>
        <v>175.332</v>
      </c>
      <c r="M153" s="43"/>
      <c r="N153" s="17"/>
      <c r="O153" s="53" t="s">
        <v>65</v>
      </c>
      <c r="P153" s="120"/>
      <c r="Q153" s="76"/>
    </row>
    <row r="154" spans="1:17" s="19" customFormat="1" ht="19.5" customHeight="1">
      <c r="A154" s="89"/>
      <c r="B154" s="124"/>
      <c r="C154" s="16">
        <v>2020</v>
      </c>
      <c r="D154" s="38"/>
      <c r="E154" s="57">
        <f t="shared" si="30"/>
        <v>867.3578099999999</v>
      </c>
      <c r="F154" s="56"/>
      <c r="G154" s="56"/>
      <c r="H154" s="47">
        <f t="shared" si="29"/>
        <v>0</v>
      </c>
      <c r="I154" s="56"/>
      <c r="J154" s="48">
        <v>0</v>
      </c>
      <c r="K154" s="48"/>
      <c r="L154" s="49">
        <f>1398.322-512.21819-18.746</f>
        <v>867.3578099999999</v>
      </c>
      <c r="M154" s="43"/>
      <c r="N154" s="17"/>
      <c r="O154" s="53" t="s">
        <v>64</v>
      </c>
      <c r="P154" s="120"/>
      <c r="Q154" s="76"/>
    </row>
    <row r="155" spans="1:17" s="19" customFormat="1" ht="20.25" customHeight="1">
      <c r="A155" s="89"/>
      <c r="B155" s="124"/>
      <c r="C155" s="16">
        <v>2020</v>
      </c>
      <c r="D155" s="38"/>
      <c r="E155" s="37">
        <f t="shared" si="30"/>
        <v>299.189</v>
      </c>
      <c r="F155" s="56"/>
      <c r="G155" s="56"/>
      <c r="H155" s="47">
        <f t="shared" si="29"/>
        <v>0</v>
      </c>
      <c r="I155" s="56"/>
      <c r="J155" s="39">
        <v>0</v>
      </c>
      <c r="K155" s="48"/>
      <c r="L155" s="42">
        <f>300-0.811</f>
        <v>299.189</v>
      </c>
      <c r="M155" s="43"/>
      <c r="N155" s="17"/>
      <c r="O155" s="53" t="s">
        <v>66</v>
      </c>
      <c r="P155" s="120"/>
      <c r="Q155" s="76"/>
    </row>
    <row r="156" spans="1:17" s="19" customFormat="1" ht="24.75" customHeight="1">
      <c r="A156" s="89"/>
      <c r="B156" s="124"/>
      <c r="C156" s="115">
        <v>2021</v>
      </c>
      <c r="D156" s="38"/>
      <c r="E156" s="37">
        <f t="shared" si="30"/>
        <v>657.74983</v>
      </c>
      <c r="F156" s="56"/>
      <c r="G156" s="56"/>
      <c r="H156" s="47">
        <f t="shared" si="29"/>
        <v>0</v>
      </c>
      <c r="I156" s="56"/>
      <c r="J156" s="47">
        <v>0</v>
      </c>
      <c r="K156" s="47"/>
      <c r="L156" s="58">
        <f>L157+L158</f>
        <v>657.74983</v>
      </c>
      <c r="M156" s="43"/>
      <c r="N156" s="17"/>
      <c r="O156" s="53" t="s">
        <v>64</v>
      </c>
      <c r="P156" s="120"/>
      <c r="Q156" s="76"/>
    </row>
    <row r="157" spans="1:17" s="19" customFormat="1" ht="51" customHeight="1">
      <c r="A157" s="89"/>
      <c r="B157" s="38" t="s">
        <v>67</v>
      </c>
      <c r="C157" s="115"/>
      <c r="D157" s="38"/>
      <c r="E157" s="37">
        <f t="shared" si="30"/>
        <v>523.9098299999999</v>
      </c>
      <c r="F157" s="56"/>
      <c r="G157" s="56"/>
      <c r="H157" s="47">
        <f t="shared" si="29"/>
        <v>0</v>
      </c>
      <c r="I157" s="56"/>
      <c r="J157" s="48">
        <v>0</v>
      </c>
      <c r="K157" s="48"/>
      <c r="L157" s="49">
        <f>734.06-210.15017</f>
        <v>523.9098299999999</v>
      </c>
      <c r="M157" s="43"/>
      <c r="N157" s="17"/>
      <c r="O157" s="59" t="s">
        <v>64</v>
      </c>
      <c r="P157" s="120"/>
      <c r="Q157" s="76"/>
    </row>
    <row r="158" spans="1:17" s="19" customFormat="1" ht="32.25" customHeight="1">
      <c r="A158" s="89"/>
      <c r="B158" s="86" t="s">
        <v>68</v>
      </c>
      <c r="C158" s="115"/>
      <c r="D158" s="38"/>
      <c r="E158" s="37">
        <f t="shared" si="30"/>
        <v>133.84</v>
      </c>
      <c r="F158" s="56"/>
      <c r="G158" s="56"/>
      <c r="H158" s="47">
        <f t="shared" si="29"/>
        <v>0</v>
      </c>
      <c r="I158" s="56"/>
      <c r="J158" s="48">
        <v>0</v>
      </c>
      <c r="K158" s="48"/>
      <c r="L158" s="60">
        <v>133.84</v>
      </c>
      <c r="M158" s="43"/>
      <c r="N158" s="17"/>
      <c r="O158" s="53" t="s">
        <v>25</v>
      </c>
      <c r="P158" s="120"/>
      <c r="Q158" s="76"/>
    </row>
    <row r="159" spans="1:17" s="19" customFormat="1" ht="19.5" customHeight="1">
      <c r="A159" s="103"/>
      <c r="B159" s="87"/>
      <c r="C159" s="44">
        <v>2022</v>
      </c>
      <c r="D159" s="38"/>
      <c r="E159" s="37">
        <f t="shared" si="30"/>
        <v>0</v>
      </c>
      <c r="F159" s="56"/>
      <c r="G159" s="56"/>
      <c r="H159" s="47">
        <f t="shared" si="29"/>
        <v>0</v>
      </c>
      <c r="I159" s="56"/>
      <c r="J159" s="48">
        <v>0</v>
      </c>
      <c r="K159" s="48"/>
      <c r="L159" s="49">
        <v>0</v>
      </c>
      <c r="M159" s="43"/>
      <c r="N159" s="116"/>
      <c r="O159" s="53" t="s">
        <v>64</v>
      </c>
      <c r="P159" s="120"/>
      <c r="Q159" s="76"/>
    </row>
    <row r="160" spans="1:17" s="19" customFormat="1" ht="37.5" customHeight="1">
      <c r="A160" s="103"/>
      <c r="B160" s="87" t="s">
        <v>95</v>
      </c>
      <c r="C160" s="44">
        <v>2023</v>
      </c>
      <c r="D160" s="38"/>
      <c r="E160" s="37">
        <f>G160+H160+L160+N160</f>
        <v>949.399</v>
      </c>
      <c r="F160" s="56"/>
      <c r="G160" s="56"/>
      <c r="H160" s="47">
        <f>I160+J160</f>
        <v>825.98</v>
      </c>
      <c r="I160" s="56"/>
      <c r="J160" s="48">
        <v>825.98</v>
      </c>
      <c r="K160" s="48"/>
      <c r="L160" s="49">
        <v>123.419</v>
      </c>
      <c r="M160" s="43"/>
      <c r="N160" s="117"/>
      <c r="O160" s="53" t="s">
        <v>64</v>
      </c>
      <c r="P160" s="120"/>
      <c r="Q160" s="76"/>
    </row>
    <row r="161" spans="1:17" s="19" customFormat="1" ht="19.5" customHeight="1">
      <c r="A161" s="103"/>
      <c r="B161" s="87"/>
      <c r="C161" s="44">
        <v>2024</v>
      </c>
      <c r="D161" s="38"/>
      <c r="E161" s="37">
        <f>G161+H161+L161+N161</f>
        <v>0</v>
      </c>
      <c r="F161" s="56"/>
      <c r="G161" s="56"/>
      <c r="H161" s="47">
        <f>I161+J161</f>
        <v>0</v>
      </c>
      <c r="I161" s="56"/>
      <c r="J161" s="48">
        <v>0</v>
      </c>
      <c r="K161" s="48"/>
      <c r="L161" s="49">
        <v>0</v>
      </c>
      <c r="M161" s="43"/>
      <c r="N161" s="117"/>
      <c r="O161" s="53"/>
      <c r="P161" s="120"/>
      <c r="Q161" s="76"/>
    </row>
    <row r="162" spans="1:17" s="19" customFormat="1" ht="19.5" customHeight="1">
      <c r="A162" s="103"/>
      <c r="B162" s="87"/>
      <c r="C162" s="44">
        <v>2025</v>
      </c>
      <c r="D162" s="38"/>
      <c r="E162" s="37">
        <f>G162+H162+L162+N162</f>
        <v>0</v>
      </c>
      <c r="F162" s="56"/>
      <c r="G162" s="56"/>
      <c r="H162" s="47">
        <f>I162+J162</f>
        <v>0</v>
      </c>
      <c r="I162" s="56"/>
      <c r="J162" s="48">
        <v>0</v>
      </c>
      <c r="K162" s="48"/>
      <c r="L162" s="49">
        <v>0</v>
      </c>
      <c r="M162" s="43"/>
      <c r="N162" s="118"/>
      <c r="O162" s="53"/>
      <c r="P162" s="120"/>
      <c r="Q162" s="76"/>
    </row>
    <row r="163" spans="1:17" s="19" customFormat="1" ht="19.5" customHeight="1">
      <c r="A163" s="89" t="s">
        <v>69</v>
      </c>
      <c r="B163" s="129" t="s">
        <v>70</v>
      </c>
      <c r="C163" s="115">
        <v>2017</v>
      </c>
      <c r="D163" s="115"/>
      <c r="E163" s="128">
        <f t="shared" si="30"/>
        <v>144.718</v>
      </c>
      <c r="F163" s="128"/>
      <c r="G163" s="16"/>
      <c r="H163" s="47">
        <f t="shared" si="29"/>
        <v>0</v>
      </c>
      <c r="I163" s="16"/>
      <c r="J163" s="48">
        <v>0</v>
      </c>
      <c r="K163" s="47"/>
      <c r="L163" s="49">
        <v>144.718</v>
      </c>
      <c r="M163" s="43"/>
      <c r="N163" s="17"/>
      <c r="O163" s="53" t="s">
        <v>25</v>
      </c>
      <c r="P163" s="120"/>
      <c r="Q163" s="76"/>
    </row>
    <row r="164" spans="1:17" s="19" customFormat="1" ht="19.5" customHeight="1">
      <c r="A164" s="89"/>
      <c r="B164" s="124"/>
      <c r="C164" s="115">
        <v>2018</v>
      </c>
      <c r="D164" s="115"/>
      <c r="E164" s="128">
        <f t="shared" si="30"/>
        <v>0</v>
      </c>
      <c r="F164" s="128"/>
      <c r="G164" s="16"/>
      <c r="H164" s="47">
        <f t="shared" si="29"/>
        <v>0</v>
      </c>
      <c r="I164" s="16"/>
      <c r="J164" s="48">
        <v>0</v>
      </c>
      <c r="K164" s="56"/>
      <c r="L164" s="130">
        <v>0</v>
      </c>
      <c r="M164" s="130"/>
      <c r="N164" s="61"/>
      <c r="O164" s="38"/>
      <c r="P164" s="120"/>
      <c r="Q164" s="76"/>
    </row>
    <row r="165" spans="1:17" s="19" customFormat="1" ht="19.5" customHeight="1">
      <c r="A165" s="89"/>
      <c r="B165" s="124"/>
      <c r="C165" s="16">
        <v>2019</v>
      </c>
      <c r="D165" s="16"/>
      <c r="E165" s="128">
        <f>L165</f>
        <v>0</v>
      </c>
      <c r="F165" s="128"/>
      <c r="G165" s="16"/>
      <c r="H165" s="47">
        <f t="shared" si="29"/>
        <v>0</v>
      </c>
      <c r="I165" s="16"/>
      <c r="J165" s="48">
        <v>0</v>
      </c>
      <c r="K165" s="56"/>
      <c r="L165" s="130">
        <v>0</v>
      </c>
      <c r="M165" s="130"/>
      <c r="N165" s="17"/>
      <c r="O165" s="38"/>
      <c r="P165" s="120"/>
      <c r="Q165" s="76"/>
    </row>
    <row r="166" spans="1:17" s="19" customFormat="1" ht="19.5" customHeight="1">
      <c r="A166" s="89"/>
      <c r="B166" s="124"/>
      <c r="C166" s="31">
        <v>2020</v>
      </c>
      <c r="D166" s="31"/>
      <c r="E166" s="37">
        <v>0</v>
      </c>
      <c r="F166" s="37"/>
      <c r="G166" s="31"/>
      <c r="H166" s="37">
        <f t="shared" si="29"/>
        <v>0</v>
      </c>
      <c r="I166" s="31"/>
      <c r="J166" s="39">
        <v>0</v>
      </c>
      <c r="K166" s="37"/>
      <c r="L166" s="42">
        <v>0</v>
      </c>
      <c r="M166" s="42"/>
      <c r="N166" s="31"/>
      <c r="O166" s="24"/>
      <c r="P166" s="120"/>
      <c r="Q166" s="76"/>
    </row>
    <row r="167" spans="1:17" s="19" customFormat="1" ht="19.5" customHeight="1">
      <c r="A167" s="89"/>
      <c r="B167" s="124"/>
      <c r="C167" s="16">
        <v>2021</v>
      </c>
      <c r="D167" s="16"/>
      <c r="E167" s="62">
        <v>0</v>
      </c>
      <c r="F167" s="47"/>
      <c r="G167" s="16"/>
      <c r="H167" s="47">
        <f t="shared" si="29"/>
        <v>0</v>
      </c>
      <c r="I167" s="16"/>
      <c r="J167" s="48">
        <v>0</v>
      </c>
      <c r="K167" s="48"/>
      <c r="L167" s="49">
        <v>0</v>
      </c>
      <c r="M167" s="43"/>
      <c r="N167" s="17"/>
      <c r="O167" s="38"/>
      <c r="P167" s="120"/>
      <c r="Q167" s="76"/>
    </row>
    <row r="168" spans="1:17" s="19" customFormat="1" ht="19.5" customHeight="1">
      <c r="A168" s="89"/>
      <c r="B168" s="124"/>
      <c r="C168" s="16">
        <v>2022</v>
      </c>
      <c r="D168" s="16"/>
      <c r="E168" s="62">
        <v>0</v>
      </c>
      <c r="F168" s="47"/>
      <c r="G168" s="16"/>
      <c r="H168" s="47">
        <f t="shared" si="29"/>
        <v>0</v>
      </c>
      <c r="I168" s="16"/>
      <c r="J168" s="48">
        <v>0</v>
      </c>
      <c r="K168" s="48"/>
      <c r="L168" s="49">
        <v>0</v>
      </c>
      <c r="M168" s="43"/>
      <c r="N168" s="17"/>
      <c r="O168" s="38"/>
      <c r="P168" s="120"/>
      <c r="Q168" s="76"/>
    </row>
    <row r="169" spans="1:17" s="19" customFormat="1" ht="19.5" customHeight="1">
      <c r="A169" s="89"/>
      <c r="B169" s="124"/>
      <c r="C169" s="16">
        <v>2023</v>
      </c>
      <c r="D169" s="16"/>
      <c r="E169" s="62">
        <v>0</v>
      </c>
      <c r="F169" s="47"/>
      <c r="G169" s="16"/>
      <c r="H169" s="47">
        <f t="shared" si="29"/>
        <v>0</v>
      </c>
      <c r="I169" s="16"/>
      <c r="J169" s="48">
        <v>0</v>
      </c>
      <c r="K169" s="48"/>
      <c r="L169" s="49">
        <v>0</v>
      </c>
      <c r="M169" s="43"/>
      <c r="N169" s="17"/>
      <c r="O169" s="38"/>
      <c r="P169" s="121"/>
      <c r="Q169" s="76"/>
    </row>
    <row r="170" spans="1:17" s="19" customFormat="1" ht="19.5" customHeight="1">
      <c r="A170" s="89"/>
      <c r="B170" s="124"/>
      <c r="C170" s="16">
        <v>2024</v>
      </c>
      <c r="D170" s="16"/>
      <c r="E170" s="62">
        <v>0</v>
      </c>
      <c r="F170" s="47"/>
      <c r="G170" s="16"/>
      <c r="H170" s="47">
        <f t="shared" si="29"/>
        <v>0</v>
      </c>
      <c r="I170" s="16"/>
      <c r="J170" s="48">
        <v>0</v>
      </c>
      <c r="K170" s="48"/>
      <c r="L170" s="49">
        <v>0</v>
      </c>
      <c r="M170" s="43"/>
      <c r="N170" s="17"/>
      <c r="O170" s="38"/>
      <c r="P170" s="121"/>
      <c r="Q170" s="76"/>
    </row>
    <row r="171" spans="1:17" s="19" customFormat="1" ht="19.5" customHeight="1">
      <c r="A171" s="89"/>
      <c r="B171" s="124"/>
      <c r="C171" s="16">
        <v>2025</v>
      </c>
      <c r="D171" s="16"/>
      <c r="E171" s="62">
        <v>0</v>
      </c>
      <c r="F171" s="47"/>
      <c r="G171" s="16"/>
      <c r="H171" s="47">
        <f t="shared" si="29"/>
        <v>0</v>
      </c>
      <c r="I171" s="16"/>
      <c r="J171" s="48">
        <v>0</v>
      </c>
      <c r="K171" s="48"/>
      <c r="L171" s="49">
        <v>0</v>
      </c>
      <c r="M171" s="43"/>
      <c r="N171" s="17"/>
      <c r="O171" s="38"/>
      <c r="P171" s="122"/>
      <c r="Q171" s="76"/>
    </row>
    <row r="172" spans="1:17" s="19" customFormat="1" ht="48.75" customHeight="1">
      <c r="A172" s="36" t="s">
        <v>71</v>
      </c>
      <c r="B172" s="20" t="s">
        <v>72</v>
      </c>
      <c r="C172" s="31">
        <v>2019</v>
      </c>
      <c r="D172" s="16"/>
      <c r="E172" s="37">
        <f aca="true" t="shared" si="31" ref="E172:E179">G172+H172+L172+N172</f>
        <v>45</v>
      </c>
      <c r="F172" s="37"/>
      <c r="G172" s="31"/>
      <c r="H172" s="37">
        <f t="shared" si="29"/>
        <v>0</v>
      </c>
      <c r="I172" s="31"/>
      <c r="J172" s="39">
        <v>0</v>
      </c>
      <c r="K172" s="39"/>
      <c r="L172" s="42">
        <f>80-35</f>
        <v>45</v>
      </c>
      <c r="M172" s="43"/>
      <c r="N172" s="17"/>
      <c r="O172" s="38" t="s">
        <v>73</v>
      </c>
      <c r="P172" s="34"/>
      <c r="Q172" s="78"/>
    </row>
    <row r="173" spans="1:17" s="19" customFormat="1" ht="22.5" customHeight="1">
      <c r="A173" s="89" t="s">
        <v>74</v>
      </c>
      <c r="B173" s="124" t="s">
        <v>40</v>
      </c>
      <c r="C173" s="31">
        <v>2019</v>
      </c>
      <c r="D173" s="16"/>
      <c r="E173" s="37">
        <f t="shared" si="31"/>
        <v>206.574</v>
      </c>
      <c r="F173" s="37"/>
      <c r="G173" s="31"/>
      <c r="H173" s="37">
        <f t="shared" si="29"/>
        <v>0</v>
      </c>
      <c r="I173" s="31"/>
      <c r="J173" s="39">
        <v>0</v>
      </c>
      <c r="K173" s="39"/>
      <c r="L173" s="42">
        <f>100+106.574</f>
        <v>206.574</v>
      </c>
      <c r="M173" s="42"/>
      <c r="N173" s="31"/>
      <c r="O173" s="59" t="s">
        <v>73</v>
      </c>
      <c r="P173" s="34"/>
      <c r="Q173" s="78"/>
    </row>
    <row r="174" spans="1:17" s="19" customFormat="1" ht="22.5" customHeight="1">
      <c r="A174" s="89"/>
      <c r="B174" s="124"/>
      <c r="C174" s="31">
        <v>2020</v>
      </c>
      <c r="D174" s="16"/>
      <c r="E174" s="37">
        <f t="shared" si="31"/>
        <v>269.987</v>
      </c>
      <c r="F174" s="37"/>
      <c r="G174" s="31"/>
      <c r="H174" s="37">
        <f t="shared" si="29"/>
        <v>0</v>
      </c>
      <c r="I174" s="31"/>
      <c r="J174" s="39"/>
      <c r="K174" s="39"/>
      <c r="L174" s="42">
        <f>270-0.013</f>
        <v>269.987</v>
      </c>
      <c r="M174" s="42"/>
      <c r="N174" s="31"/>
      <c r="O174" s="59" t="s">
        <v>75</v>
      </c>
      <c r="P174" s="34"/>
      <c r="Q174" s="78"/>
    </row>
    <row r="175" spans="1:17" s="19" customFormat="1" ht="37.5" customHeight="1">
      <c r="A175" s="36" t="s">
        <v>76</v>
      </c>
      <c r="B175" s="20" t="s">
        <v>77</v>
      </c>
      <c r="C175" s="31">
        <v>2020</v>
      </c>
      <c r="D175" s="16"/>
      <c r="E175" s="37">
        <f t="shared" si="31"/>
        <v>200</v>
      </c>
      <c r="F175" s="37"/>
      <c r="G175" s="31"/>
      <c r="H175" s="37">
        <f t="shared" si="29"/>
        <v>0</v>
      </c>
      <c r="I175" s="31"/>
      <c r="J175" s="39"/>
      <c r="K175" s="39"/>
      <c r="L175" s="42">
        <v>200</v>
      </c>
      <c r="M175" s="42"/>
      <c r="N175" s="31"/>
      <c r="O175" s="59" t="s">
        <v>73</v>
      </c>
      <c r="P175" s="34"/>
      <c r="Q175" s="78"/>
    </row>
    <row r="176" spans="1:17" s="19" customFormat="1" ht="52.5" customHeight="1">
      <c r="A176" s="63" t="s">
        <v>78</v>
      </c>
      <c r="B176" s="20" t="s">
        <v>87</v>
      </c>
      <c r="C176" s="31">
        <v>2020</v>
      </c>
      <c r="D176" s="16"/>
      <c r="E176" s="37">
        <f t="shared" si="31"/>
        <v>1149.5</v>
      </c>
      <c r="F176" s="37"/>
      <c r="G176" s="31"/>
      <c r="H176" s="37">
        <f t="shared" si="29"/>
        <v>1000</v>
      </c>
      <c r="I176" s="31"/>
      <c r="J176" s="39">
        <v>1000</v>
      </c>
      <c r="K176" s="39"/>
      <c r="L176" s="42">
        <v>149.5</v>
      </c>
      <c r="M176" s="42"/>
      <c r="N176" s="31"/>
      <c r="O176" s="59" t="s">
        <v>79</v>
      </c>
      <c r="P176" s="34"/>
      <c r="Q176" s="78"/>
    </row>
    <row r="177" spans="1:17" s="19" customFormat="1" ht="102.75" customHeight="1">
      <c r="A177" s="63" t="s">
        <v>80</v>
      </c>
      <c r="B177" s="20" t="s">
        <v>81</v>
      </c>
      <c r="C177" s="31">
        <v>2021</v>
      </c>
      <c r="D177" s="16"/>
      <c r="E177" s="37">
        <f t="shared" si="31"/>
        <v>136.8</v>
      </c>
      <c r="F177" s="37"/>
      <c r="G177" s="31"/>
      <c r="H177" s="37">
        <f t="shared" si="29"/>
        <v>0</v>
      </c>
      <c r="I177" s="31"/>
      <c r="J177" s="39">
        <v>0</v>
      </c>
      <c r="K177" s="39"/>
      <c r="L177" s="42">
        <v>136.8</v>
      </c>
      <c r="M177" s="42"/>
      <c r="N177" s="31"/>
      <c r="O177" s="59" t="s">
        <v>82</v>
      </c>
      <c r="P177" s="34"/>
      <c r="Q177" s="78"/>
    </row>
    <row r="178" spans="1:17" s="19" customFormat="1" ht="19.5" customHeight="1">
      <c r="A178" s="88" t="s">
        <v>83</v>
      </c>
      <c r="B178" s="88"/>
      <c r="C178" s="16">
        <v>2017</v>
      </c>
      <c r="D178" s="16"/>
      <c r="E178" s="58">
        <f t="shared" si="31"/>
        <v>8294.948</v>
      </c>
      <c r="F178" s="58"/>
      <c r="G178" s="54">
        <f>G99+G115+G116+G140+G150+G151+G163+G167+G168</f>
        <v>0</v>
      </c>
      <c r="H178" s="47">
        <f t="shared" si="29"/>
        <v>400</v>
      </c>
      <c r="I178" s="54">
        <f>I99+I115+I116+I140+I150+I151+I163+I167+I168</f>
        <v>0</v>
      </c>
      <c r="J178" s="58">
        <v>400</v>
      </c>
      <c r="K178" s="64"/>
      <c r="L178" s="54">
        <v>7094.948</v>
      </c>
      <c r="M178" s="49"/>
      <c r="N178" s="54">
        <f>N97+N115+N139+N149+N150+N163</f>
        <v>800</v>
      </c>
      <c r="O178" s="93"/>
      <c r="P178" s="104"/>
      <c r="Q178" s="78"/>
    </row>
    <row r="179" spans="1:17" s="19" customFormat="1" ht="19.5" customHeight="1">
      <c r="A179" s="88"/>
      <c r="B179" s="88"/>
      <c r="C179" s="16">
        <v>2018</v>
      </c>
      <c r="D179" s="16"/>
      <c r="E179" s="58">
        <f t="shared" si="31"/>
        <v>8811.06237</v>
      </c>
      <c r="F179" s="58"/>
      <c r="G179" s="54">
        <f>G100+G116+G117+G141+G151+G152+G164+G168+G172</f>
        <v>0</v>
      </c>
      <c r="H179" s="54">
        <f>H100+H116+H139+H151</f>
        <v>683</v>
      </c>
      <c r="I179" s="54">
        <f>I100+I116+I117+I141+I151+I152+I164+I168+I172</f>
        <v>0</v>
      </c>
      <c r="J179" s="54">
        <f>J100+J116+J139+J151</f>
        <v>683</v>
      </c>
      <c r="K179" s="54">
        <f>K100+K116+K139+K151</f>
        <v>0</v>
      </c>
      <c r="L179" s="54">
        <f>L100+L116+L139+L151</f>
        <v>7013.28837</v>
      </c>
      <c r="M179" s="49"/>
      <c r="N179" s="54">
        <f>N100+N116+N139+N151+N164</f>
        <v>1114.774</v>
      </c>
      <c r="O179" s="94"/>
      <c r="P179" s="105"/>
      <c r="Q179" s="78"/>
    </row>
    <row r="180" spans="1:17" s="19" customFormat="1" ht="19.5" customHeight="1">
      <c r="A180" s="88"/>
      <c r="B180" s="88"/>
      <c r="C180" s="16">
        <v>2019</v>
      </c>
      <c r="D180" s="16"/>
      <c r="E180" s="54">
        <f aca="true" t="shared" si="32" ref="E180:N180">E101+E117+E118+E142+E152+E153+E165+E172+E173</f>
        <v>10170.508520000001</v>
      </c>
      <c r="F180" s="54">
        <f t="shared" si="32"/>
        <v>0</v>
      </c>
      <c r="G180" s="54">
        <f t="shared" si="32"/>
        <v>0</v>
      </c>
      <c r="H180" s="54">
        <f t="shared" si="32"/>
        <v>597.503</v>
      </c>
      <c r="I180" s="54">
        <f t="shared" si="32"/>
        <v>0</v>
      </c>
      <c r="J180" s="54">
        <f t="shared" si="32"/>
        <v>597.503</v>
      </c>
      <c r="K180" s="54">
        <f t="shared" si="32"/>
        <v>0</v>
      </c>
      <c r="L180" s="54">
        <f t="shared" si="32"/>
        <v>8062.6255200000005</v>
      </c>
      <c r="M180" s="54">
        <f t="shared" si="32"/>
        <v>0</v>
      </c>
      <c r="N180" s="54">
        <f t="shared" si="32"/>
        <v>1510.38</v>
      </c>
      <c r="O180" s="94"/>
      <c r="P180" s="105"/>
      <c r="Q180" s="78"/>
    </row>
    <row r="181" spans="1:17" s="19" customFormat="1" ht="19.5" customHeight="1">
      <c r="A181" s="88"/>
      <c r="B181" s="88"/>
      <c r="C181" s="16">
        <v>2020</v>
      </c>
      <c r="D181" s="16"/>
      <c r="E181" s="54">
        <f aca="true" t="shared" si="33" ref="E181:N181">E102+E103+E119+E120+E121+E143+E154+E155+E166+E175+E174+E176</f>
        <v>5651.35581</v>
      </c>
      <c r="F181" s="54">
        <f t="shared" si="33"/>
        <v>0</v>
      </c>
      <c r="G181" s="54">
        <f t="shared" si="33"/>
        <v>0</v>
      </c>
      <c r="H181" s="54">
        <f t="shared" si="33"/>
        <v>1000</v>
      </c>
      <c r="I181" s="54">
        <f t="shared" si="33"/>
        <v>0</v>
      </c>
      <c r="J181" s="54">
        <f t="shared" si="33"/>
        <v>1000</v>
      </c>
      <c r="K181" s="54">
        <f t="shared" si="33"/>
        <v>0</v>
      </c>
      <c r="L181" s="54">
        <f t="shared" si="33"/>
        <v>4651.35581</v>
      </c>
      <c r="M181" s="54">
        <f t="shared" si="33"/>
        <v>0</v>
      </c>
      <c r="N181" s="54">
        <f t="shared" si="33"/>
        <v>0</v>
      </c>
      <c r="O181" s="94"/>
      <c r="P181" s="105"/>
      <c r="Q181" s="78"/>
    </row>
    <row r="182" spans="1:17" s="19" customFormat="1" ht="19.5" customHeight="1">
      <c r="A182" s="88"/>
      <c r="B182" s="88"/>
      <c r="C182" s="16">
        <v>2021</v>
      </c>
      <c r="D182" s="16"/>
      <c r="E182" s="54">
        <f>E104+E105+E122+E144+E156+E167+E177</f>
        <v>5845.31882</v>
      </c>
      <c r="F182" s="54">
        <f>F104+F105+F122+F144+F156+F167</f>
        <v>0</v>
      </c>
      <c r="G182" s="54">
        <f>G104+G105+G122+G144+G156+G167</f>
        <v>0</v>
      </c>
      <c r="H182" s="54">
        <f>H104+H105+H122+H144+H158+H167+H157+H177</f>
        <v>290.4</v>
      </c>
      <c r="I182" s="54">
        <f>I104+I105+I122+I144+I156+I167</f>
        <v>0</v>
      </c>
      <c r="J182" s="54">
        <f>J104+J105+J122+J144+J158+J167+J157+J177</f>
        <v>290.4</v>
      </c>
      <c r="K182" s="54">
        <f>K104+K105+K122+K144+K156+K167</f>
        <v>0</v>
      </c>
      <c r="L182" s="54">
        <f>L104+L105+L122+L144+L158+L167+L157+L177</f>
        <v>5086.91882</v>
      </c>
      <c r="M182" s="54">
        <f>M104+M105+M122+M144+M156+M167</f>
        <v>0</v>
      </c>
      <c r="N182" s="54">
        <f>N104+N105+N122+N144+N156+N167</f>
        <v>468</v>
      </c>
      <c r="O182" s="94"/>
      <c r="P182" s="105"/>
      <c r="Q182" s="78"/>
    </row>
    <row r="183" spans="1:17" ht="34.5" customHeight="1">
      <c r="A183" s="88"/>
      <c r="B183" s="88"/>
      <c r="C183" s="16">
        <v>2022</v>
      </c>
      <c r="D183" s="16"/>
      <c r="E183" s="54">
        <f>G183+H183+L183+N183</f>
        <v>10303.88536</v>
      </c>
      <c r="F183" s="54">
        <f aca="true" t="shared" si="34" ref="F183:N183">F106+F107+F125+F145+F159+F168</f>
        <v>0</v>
      </c>
      <c r="G183" s="54">
        <f t="shared" si="34"/>
        <v>0</v>
      </c>
      <c r="H183" s="54">
        <f t="shared" si="34"/>
        <v>4229.925</v>
      </c>
      <c r="I183" s="54">
        <f t="shared" si="34"/>
        <v>0</v>
      </c>
      <c r="J183" s="54">
        <f t="shared" si="34"/>
        <v>4229.925</v>
      </c>
      <c r="K183" s="54">
        <f t="shared" si="34"/>
        <v>0</v>
      </c>
      <c r="L183" s="54">
        <f t="shared" si="34"/>
        <v>5325.16036</v>
      </c>
      <c r="M183" s="54">
        <f t="shared" si="34"/>
        <v>0</v>
      </c>
      <c r="N183" s="54">
        <f t="shared" si="34"/>
        <v>748.8</v>
      </c>
      <c r="O183" s="94"/>
      <c r="P183" s="105"/>
      <c r="Q183" s="78"/>
    </row>
    <row r="184" spans="1:17" ht="32.25" customHeight="1">
      <c r="A184" s="88"/>
      <c r="B184" s="88"/>
      <c r="C184" s="16">
        <v>2023</v>
      </c>
      <c r="D184" s="16"/>
      <c r="E184" s="54">
        <f>E108+E109+E129+E130+E131+E146+E160+E169</f>
        <v>8998.597</v>
      </c>
      <c r="F184" s="54">
        <f aca="true" t="shared" si="35" ref="F184:N184">F108+F109+F129+F130+F131+F146+F160+F169</f>
        <v>0</v>
      </c>
      <c r="G184" s="54">
        <f t="shared" si="35"/>
        <v>0</v>
      </c>
      <c r="H184" s="54">
        <f t="shared" si="35"/>
        <v>2010</v>
      </c>
      <c r="I184" s="54">
        <f t="shared" si="35"/>
        <v>0</v>
      </c>
      <c r="J184" s="54">
        <f t="shared" si="35"/>
        <v>2010</v>
      </c>
      <c r="K184" s="54">
        <f t="shared" si="35"/>
        <v>0</v>
      </c>
      <c r="L184" s="54">
        <f>L108+L109+L129+L130+L131+L146+L160+L169</f>
        <v>6988.597</v>
      </c>
      <c r="M184" s="54">
        <f t="shared" si="35"/>
        <v>0</v>
      </c>
      <c r="N184" s="54">
        <f t="shared" si="35"/>
        <v>0</v>
      </c>
      <c r="O184" s="95"/>
      <c r="P184" s="106"/>
      <c r="Q184" s="78"/>
    </row>
    <row r="185" spans="1:17" ht="32.25" customHeight="1">
      <c r="A185" s="88"/>
      <c r="B185" s="88"/>
      <c r="C185" s="16">
        <v>2024</v>
      </c>
      <c r="D185" s="16"/>
      <c r="E185" s="54">
        <f>E110+E111+E132+E133+E134+E147+E161+E170</f>
        <v>9695.43</v>
      </c>
      <c r="F185" s="54">
        <f aca="true" t="shared" si="36" ref="F185:N185">F110+F111+F132+F133+F134+F147+F161+F170</f>
        <v>0</v>
      </c>
      <c r="G185" s="54">
        <f t="shared" si="36"/>
        <v>0</v>
      </c>
      <c r="H185" s="54">
        <f t="shared" si="36"/>
        <v>2010</v>
      </c>
      <c r="I185" s="54">
        <f t="shared" si="36"/>
        <v>0</v>
      </c>
      <c r="J185" s="54">
        <f t="shared" si="36"/>
        <v>2010</v>
      </c>
      <c r="K185" s="54">
        <f t="shared" si="36"/>
        <v>0</v>
      </c>
      <c r="L185" s="54">
        <f t="shared" si="36"/>
        <v>7685.43</v>
      </c>
      <c r="M185" s="54">
        <f t="shared" si="36"/>
        <v>0</v>
      </c>
      <c r="N185" s="54">
        <f t="shared" si="36"/>
        <v>0</v>
      </c>
      <c r="O185" s="95"/>
      <c r="P185" s="106"/>
      <c r="Q185" s="78"/>
    </row>
    <row r="186" spans="1:17" ht="19.5" customHeight="1">
      <c r="A186" s="88"/>
      <c r="B186" s="88"/>
      <c r="C186" s="16">
        <v>2025</v>
      </c>
      <c r="D186" s="16"/>
      <c r="E186" s="54">
        <f>E112+E113+E135+E136+E137+E148+E162+E171</f>
        <v>9695.43</v>
      </c>
      <c r="F186" s="54">
        <f aca="true" t="shared" si="37" ref="F186:N186">F112+F113+F135+F136+F137+F148+F162+F171</f>
        <v>0</v>
      </c>
      <c r="G186" s="54">
        <f t="shared" si="37"/>
        <v>0</v>
      </c>
      <c r="H186" s="54">
        <f t="shared" si="37"/>
        <v>2010</v>
      </c>
      <c r="I186" s="54">
        <f t="shared" si="37"/>
        <v>0</v>
      </c>
      <c r="J186" s="54">
        <f t="shared" si="37"/>
        <v>2010</v>
      </c>
      <c r="K186" s="54">
        <f t="shared" si="37"/>
        <v>0</v>
      </c>
      <c r="L186" s="54">
        <f t="shared" si="37"/>
        <v>7685.43</v>
      </c>
      <c r="M186" s="54">
        <f t="shared" si="37"/>
        <v>0</v>
      </c>
      <c r="N186" s="54">
        <f t="shared" si="37"/>
        <v>0</v>
      </c>
      <c r="O186" s="96"/>
      <c r="P186" s="107"/>
      <c r="Q186" s="78"/>
    </row>
    <row r="187" spans="1:17" ht="16.5" customHeight="1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80"/>
    </row>
    <row r="188" spans="1:17" ht="21.75" customHeight="1" thickBot="1">
      <c r="A188" s="125" t="s">
        <v>84</v>
      </c>
      <c r="B188" s="125"/>
      <c r="C188" s="17" t="s">
        <v>94</v>
      </c>
      <c r="D188" s="17"/>
      <c r="E188" s="54">
        <f>E189+E190+E191+E192+E193+E194+E197+E195+E196</f>
        <v>93372.22088</v>
      </c>
      <c r="F188" s="54">
        <f aca="true" t="shared" si="38" ref="F188:N188">F189+F190+F191+F192+F193+F194+F197+F195+F196</f>
        <v>0</v>
      </c>
      <c r="G188" s="54">
        <f t="shared" si="38"/>
        <v>0</v>
      </c>
      <c r="H188" s="54">
        <f t="shared" si="38"/>
        <v>24238.978000000003</v>
      </c>
      <c r="I188" s="54">
        <f t="shared" si="38"/>
        <v>0</v>
      </c>
      <c r="J188" s="54">
        <f t="shared" si="38"/>
        <v>24238.978000000003</v>
      </c>
      <c r="K188" s="54">
        <f t="shared" si="38"/>
        <v>0</v>
      </c>
      <c r="L188" s="54">
        <f t="shared" si="38"/>
        <v>64038.28888000001</v>
      </c>
      <c r="M188" s="54">
        <f t="shared" si="38"/>
        <v>0</v>
      </c>
      <c r="N188" s="54">
        <f t="shared" si="38"/>
        <v>5094.954000000001</v>
      </c>
      <c r="O188" s="93"/>
      <c r="P188" s="110"/>
      <c r="Q188" s="78"/>
    </row>
    <row r="189" spans="1:17" ht="17.25" customHeight="1" thickBot="1">
      <c r="A189" s="125"/>
      <c r="B189" s="125"/>
      <c r="C189" s="16">
        <v>2017</v>
      </c>
      <c r="D189" s="17"/>
      <c r="E189" s="127">
        <f>G189+H189+L189+N189</f>
        <v>9891.71</v>
      </c>
      <c r="F189" s="127"/>
      <c r="G189" s="54">
        <v>0</v>
      </c>
      <c r="H189" s="54">
        <f>I189+J189</f>
        <v>1397</v>
      </c>
      <c r="I189" s="54">
        <f aca="true" t="shared" si="39" ref="I189:N189">I49+I85+I178</f>
        <v>0</v>
      </c>
      <c r="J189" s="54">
        <f t="shared" si="39"/>
        <v>1397</v>
      </c>
      <c r="K189" s="54">
        <f t="shared" si="39"/>
        <v>0</v>
      </c>
      <c r="L189" s="54">
        <f t="shared" si="39"/>
        <v>7569.71</v>
      </c>
      <c r="M189" s="54">
        <f t="shared" si="39"/>
        <v>0</v>
      </c>
      <c r="N189" s="54">
        <f t="shared" si="39"/>
        <v>925</v>
      </c>
      <c r="O189" s="94"/>
      <c r="P189" s="105"/>
      <c r="Q189" s="78"/>
    </row>
    <row r="190" spans="1:17" ht="18" customHeight="1" thickBot="1">
      <c r="A190" s="125"/>
      <c r="B190" s="125"/>
      <c r="C190" s="16">
        <v>2018</v>
      </c>
      <c r="D190" s="17"/>
      <c r="E190" s="127">
        <f>G190+H190+L190+N190</f>
        <v>10539.54337</v>
      </c>
      <c r="F190" s="127"/>
      <c r="G190" s="54">
        <v>0</v>
      </c>
      <c r="H190" s="54">
        <f>I190+J190</f>
        <v>1698</v>
      </c>
      <c r="I190" s="54">
        <f>I50+I86+I179</f>
        <v>0</v>
      </c>
      <c r="J190" s="54">
        <v>1698</v>
      </c>
      <c r="K190" s="54"/>
      <c r="L190" s="127">
        <f>L50+L86+L179</f>
        <v>7523.76937</v>
      </c>
      <c r="M190" s="127"/>
      <c r="N190" s="54">
        <f>N50+N86+N179</f>
        <v>1317.774</v>
      </c>
      <c r="O190" s="94"/>
      <c r="P190" s="105"/>
      <c r="Q190" s="78"/>
    </row>
    <row r="191" spans="1:17" ht="19.5" customHeight="1" thickBot="1">
      <c r="A191" s="125"/>
      <c r="B191" s="125"/>
      <c r="C191" s="16">
        <v>2019</v>
      </c>
      <c r="D191" s="17"/>
      <c r="E191" s="54">
        <f aca="true" t="shared" si="40" ref="E191:H194">E51+E87+E180</f>
        <v>11919.83652</v>
      </c>
      <c r="F191" s="54">
        <f t="shared" si="40"/>
        <v>0</v>
      </c>
      <c r="G191" s="54">
        <f t="shared" si="40"/>
        <v>0</v>
      </c>
      <c r="H191" s="54">
        <f t="shared" si="40"/>
        <v>1694.5840000000003</v>
      </c>
      <c r="I191" s="54">
        <f>I51+I87+I180</f>
        <v>0</v>
      </c>
      <c r="J191" s="54">
        <f aca="true" t="shared" si="41" ref="J191:K194">J51+J87+J180</f>
        <v>1694.5840000000003</v>
      </c>
      <c r="K191" s="54">
        <f t="shared" si="41"/>
        <v>0</v>
      </c>
      <c r="L191" s="54">
        <f>L51+L87+L180</f>
        <v>8589.87252</v>
      </c>
      <c r="M191" s="54">
        <f>M51+M87+M180</f>
        <v>0</v>
      </c>
      <c r="N191" s="54">
        <f>N51+N87+N180</f>
        <v>1635.38</v>
      </c>
      <c r="O191" s="94"/>
      <c r="P191" s="105"/>
      <c r="Q191" s="78"/>
    </row>
    <row r="192" spans="1:17" ht="19.5" customHeight="1" thickBot="1">
      <c r="A192" s="125"/>
      <c r="B192" s="125"/>
      <c r="C192" s="65">
        <v>2020</v>
      </c>
      <c r="D192" s="65"/>
      <c r="E192" s="54">
        <f t="shared" si="40"/>
        <v>7056.05581</v>
      </c>
      <c r="F192" s="54">
        <f t="shared" si="40"/>
        <v>0</v>
      </c>
      <c r="G192" s="54">
        <f t="shared" si="40"/>
        <v>0</v>
      </c>
      <c r="H192" s="54">
        <f t="shared" si="40"/>
        <v>2135.1</v>
      </c>
      <c r="I192" s="54">
        <f>I52+I88+I181</f>
        <v>0</v>
      </c>
      <c r="J192" s="54">
        <f t="shared" si="41"/>
        <v>2135.1</v>
      </c>
      <c r="K192" s="54">
        <f t="shared" si="41"/>
        <v>0</v>
      </c>
      <c r="L192" s="54">
        <f>L52+L88+L181</f>
        <v>4920.95581</v>
      </c>
      <c r="M192" s="54">
        <f>M52+M88+M181</f>
        <v>0</v>
      </c>
      <c r="N192" s="54">
        <f>N52+N88+N181</f>
        <v>0</v>
      </c>
      <c r="O192" s="94"/>
      <c r="P192" s="105"/>
      <c r="Q192" s="78"/>
    </row>
    <row r="193" spans="1:17" ht="19.5" customHeight="1" thickBot="1">
      <c r="A193" s="125"/>
      <c r="B193" s="125"/>
      <c r="C193" s="65">
        <v>2021</v>
      </c>
      <c r="D193" s="65"/>
      <c r="E193" s="54">
        <f t="shared" si="40"/>
        <v>7997.59132</v>
      </c>
      <c r="F193" s="54">
        <f t="shared" si="40"/>
        <v>0</v>
      </c>
      <c r="G193" s="54">
        <f t="shared" si="40"/>
        <v>0</v>
      </c>
      <c r="H193" s="54">
        <f t="shared" si="40"/>
        <v>1751.9299999999998</v>
      </c>
      <c r="I193" s="54">
        <f>I53+I89+I182</f>
        <v>0</v>
      </c>
      <c r="J193" s="54">
        <f t="shared" si="41"/>
        <v>1751.9299999999998</v>
      </c>
      <c r="K193" s="54">
        <f t="shared" si="41"/>
        <v>0</v>
      </c>
      <c r="L193" s="54">
        <f>L53+L89+L182</f>
        <v>5777.66132</v>
      </c>
      <c r="M193" s="54">
        <f>M53+M89+M182</f>
        <v>0</v>
      </c>
      <c r="N193" s="54">
        <f>N53+N89+N182</f>
        <v>468</v>
      </c>
      <c r="O193" s="94"/>
      <c r="P193" s="105"/>
      <c r="Q193" s="78"/>
    </row>
    <row r="194" spans="1:17" ht="33.75" customHeight="1" thickBot="1">
      <c r="A194" s="125"/>
      <c r="B194" s="125"/>
      <c r="C194" s="65">
        <v>2022</v>
      </c>
      <c r="D194" s="65"/>
      <c r="E194" s="54">
        <f t="shared" si="40"/>
        <v>12597.52686</v>
      </c>
      <c r="F194" s="54">
        <f t="shared" si="40"/>
        <v>0</v>
      </c>
      <c r="G194" s="54">
        <f t="shared" si="40"/>
        <v>0</v>
      </c>
      <c r="H194" s="54">
        <f t="shared" si="40"/>
        <v>5528.964</v>
      </c>
      <c r="I194" s="54">
        <f>I54+I90+I183</f>
        <v>0</v>
      </c>
      <c r="J194" s="54">
        <f t="shared" si="41"/>
        <v>5528.964</v>
      </c>
      <c r="K194" s="54">
        <f t="shared" si="41"/>
        <v>0</v>
      </c>
      <c r="L194" s="54">
        <f>L54+L90+L183</f>
        <v>6319.76286</v>
      </c>
      <c r="M194" s="54">
        <f>M54+M90+M183</f>
        <v>0</v>
      </c>
      <c r="N194" s="54">
        <f>N54+N90+N183</f>
        <v>748.8</v>
      </c>
      <c r="O194" s="94"/>
      <c r="P194" s="105"/>
      <c r="Q194" s="78"/>
    </row>
    <row r="195" spans="1:17" ht="18.75" customHeight="1" thickBot="1">
      <c r="A195" s="125"/>
      <c r="B195" s="125"/>
      <c r="C195" s="66">
        <v>2023</v>
      </c>
      <c r="D195" s="66"/>
      <c r="E195" s="54">
        <f>E55+E91+E184</f>
        <v>10985.997</v>
      </c>
      <c r="F195" s="54">
        <f aca="true" t="shared" si="42" ref="F195:N195">F55+F91+F184</f>
        <v>0</v>
      </c>
      <c r="G195" s="54">
        <f t="shared" si="42"/>
        <v>0</v>
      </c>
      <c r="H195" s="54">
        <f t="shared" si="42"/>
        <v>3395</v>
      </c>
      <c r="I195" s="54">
        <f t="shared" si="42"/>
        <v>0</v>
      </c>
      <c r="J195" s="54">
        <f t="shared" si="42"/>
        <v>3395</v>
      </c>
      <c r="K195" s="54">
        <f t="shared" si="42"/>
        <v>0</v>
      </c>
      <c r="L195" s="54">
        <f t="shared" si="42"/>
        <v>7590.996999999999</v>
      </c>
      <c r="M195" s="54">
        <f t="shared" si="42"/>
        <v>0</v>
      </c>
      <c r="N195" s="54">
        <f t="shared" si="42"/>
        <v>0</v>
      </c>
      <c r="O195" s="108"/>
      <c r="P195" s="111"/>
      <c r="Q195" s="82"/>
    </row>
    <row r="196" spans="1:17" ht="18.75" customHeight="1" thickBot="1">
      <c r="A196" s="125"/>
      <c r="B196" s="125"/>
      <c r="C196" s="66">
        <v>2024</v>
      </c>
      <c r="D196" s="66"/>
      <c r="E196" s="67">
        <f>E56+E92+E185</f>
        <v>11191.98</v>
      </c>
      <c r="F196" s="67">
        <f aca="true" t="shared" si="43" ref="F196:N196">F56+F92+F185</f>
        <v>0</v>
      </c>
      <c r="G196" s="67">
        <f t="shared" si="43"/>
        <v>0</v>
      </c>
      <c r="H196" s="67">
        <f t="shared" si="43"/>
        <v>3319.2</v>
      </c>
      <c r="I196" s="67">
        <f t="shared" si="43"/>
        <v>0</v>
      </c>
      <c r="J196" s="67">
        <f t="shared" si="43"/>
        <v>3319.2</v>
      </c>
      <c r="K196" s="67">
        <f t="shared" si="43"/>
        <v>0</v>
      </c>
      <c r="L196" s="67">
        <f t="shared" si="43"/>
        <v>7872.780000000001</v>
      </c>
      <c r="M196" s="67">
        <f t="shared" si="43"/>
        <v>0</v>
      </c>
      <c r="N196" s="67">
        <f t="shared" si="43"/>
        <v>0</v>
      </c>
      <c r="O196" s="108"/>
      <c r="P196" s="111"/>
      <c r="Q196" s="82"/>
    </row>
    <row r="197" spans="1:16" ht="18.75" customHeight="1" thickBot="1">
      <c r="A197" s="125"/>
      <c r="B197" s="126"/>
      <c r="C197" s="83">
        <v>2025</v>
      </c>
      <c r="D197" s="84"/>
      <c r="E197" s="85">
        <f>E57+E93+E186</f>
        <v>11191.98</v>
      </c>
      <c r="F197" s="85">
        <f aca="true" t="shared" si="44" ref="F197:N197">F57+F93+F186</f>
        <v>0</v>
      </c>
      <c r="G197" s="85">
        <f t="shared" si="44"/>
        <v>0</v>
      </c>
      <c r="H197" s="85">
        <f t="shared" si="44"/>
        <v>3319.2</v>
      </c>
      <c r="I197" s="85">
        <f t="shared" si="44"/>
        <v>0</v>
      </c>
      <c r="J197" s="85">
        <f t="shared" si="44"/>
        <v>3319.2</v>
      </c>
      <c r="K197" s="85">
        <f t="shared" si="44"/>
        <v>0</v>
      </c>
      <c r="L197" s="85">
        <f t="shared" si="44"/>
        <v>7872.780000000001</v>
      </c>
      <c r="M197" s="85">
        <f t="shared" si="44"/>
        <v>0</v>
      </c>
      <c r="N197" s="85">
        <f t="shared" si="44"/>
        <v>0</v>
      </c>
      <c r="O197" s="109"/>
      <c r="P197" s="112"/>
    </row>
    <row r="198" spans="2:10" ht="12.75">
      <c r="B198" s="68"/>
      <c r="C198" s="69"/>
      <c r="D198" s="69"/>
      <c r="E198" s="69"/>
      <c r="F198" s="69"/>
      <c r="G198" s="69"/>
      <c r="H198" s="69"/>
      <c r="I198" s="69"/>
      <c r="J198" s="68"/>
    </row>
    <row r="199" spans="2:10" ht="12.75">
      <c r="B199" s="68"/>
      <c r="C199" s="69"/>
      <c r="D199" s="69"/>
      <c r="E199" s="69"/>
      <c r="F199" s="69"/>
      <c r="G199" s="69"/>
      <c r="H199" s="69"/>
      <c r="I199" s="69"/>
      <c r="J199" s="68"/>
    </row>
    <row r="200" spans="2:10" ht="12.75">
      <c r="B200" s="68"/>
      <c r="C200" s="69"/>
      <c r="D200" s="69"/>
      <c r="E200" s="69"/>
      <c r="F200" s="69"/>
      <c r="G200" s="69"/>
      <c r="H200" s="69"/>
      <c r="I200" s="69"/>
      <c r="J200" s="68"/>
    </row>
    <row r="201" spans="2:10" ht="12.75">
      <c r="B201" s="68"/>
      <c r="C201" s="69"/>
      <c r="D201" s="69"/>
      <c r="E201" s="69"/>
      <c r="F201" s="69"/>
      <c r="G201" s="69"/>
      <c r="H201" s="69"/>
      <c r="I201" s="69"/>
      <c r="J201" s="68"/>
    </row>
    <row r="202" spans="2:10" ht="12.75">
      <c r="B202" s="68"/>
      <c r="C202" s="69"/>
      <c r="D202" s="69"/>
      <c r="E202" s="69"/>
      <c r="F202" s="69"/>
      <c r="G202" s="69"/>
      <c r="H202" s="69"/>
      <c r="I202" s="69"/>
      <c r="J202" s="68"/>
    </row>
    <row r="203" spans="2:10" ht="12.75">
      <c r="B203" s="68"/>
      <c r="C203" s="69"/>
      <c r="D203" s="69"/>
      <c r="E203" s="69"/>
      <c r="F203" s="69"/>
      <c r="G203" s="69"/>
      <c r="H203" s="81"/>
      <c r="I203" s="69"/>
      <c r="J203" s="68"/>
    </row>
    <row r="204" spans="2:10" ht="12.75">
      <c r="B204" s="68"/>
      <c r="C204" s="69"/>
      <c r="D204" s="69"/>
      <c r="E204" s="69"/>
      <c r="F204" s="69"/>
      <c r="G204" s="69"/>
      <c r="H204" s="69"/>
      <c r="I204" s="69"/>
      <c r="J204" s="68"/>
    </row>
    <row r="205" spans="2:10" ht="12.75">
      <c r="B205" s="68"/>
      <c r="C205" s="69"/>
      <c r="D205" s="69"/>
      <c r="E205" s="69"/>
      <c r="F205" s="69"/>
      <c r="G205" s="69"/>
      <c r="H205" s="69"/>
      <c r="I205" s="69"/>
      <c r="J205" s="68"/>
    </row>
    <row r="206" spans="2:10" ht="12.75">
      <c r="B206" s="68"/>
      <c r="C206" s="69"/>
      <c r="D206" s="69"/>
      <c r="E206" s="69"/>
      <c r="F206" s="69"/>
      <c r="G206" s="69"/>
      <c r="H206" s="69"/>
      <c r="I206" s="69"/>
      <c r="J206" s="69"/>
    </row>
    <row r="207" spans="2:10" ht="12.75">
      <c r="B207" s="68"/>
      <c r="C207" s="69"/>
      <c r="D207" s="69"/>
      <c r="E207" s="69"/>
      <c r="F207" s="69"/>
      <c r="G207" s="69"/>
      <c r="H207" s="69"/>
      <c r="I207" s="69"/>
      <c r="J207" s="69"/>
    </row>
    <row r="208" spans="2:10" ht="12.75">
      <c r="B208" s="68"/>
      <c r="C208" s="69"/>
      <c r="D208" s="69"/>
      <c r="E208" s="69"/>
      <c r="F208" s="69"/>
      <c r="G208" s="69"/>
      <c r="H208" s="69"/>
      <c r="I208" s="69"/>
      <c r="J208" s="69"/>
    </row>
    <row r="209" spans="2:10" ht="12.75">
      <c r="B209" s="68"/>
      <c r="C209" s="69"/>
      <c r="D209" s="69"/>
      <c r="E209" s="69"/>
      <c r="F209" s="69"/>
      <c r="G209" s="69"/>
      <c r="H209" s="81"/>
      <c r="I209" s="69"/>
      <c r="J209" s="69"/>
    </row>
    <row r="210" spans="2:10" ht="12.75">
      <c r="B210" s="68"/>
      <c r="C210" s="69"/>
      <c r="D210" s="69"/>
      <c r="E210" s="69"/>
      <c r="F210" s="69"/>
      <c r="G210" s="69"/>
      <c r="H210" s="69"/>
      <c r="I210" s="69"/>
      <c r="J210" s="69"/>
    </row>
    <row r="211" spans="2:10" ht="12.75">
      <c r="B211" s="68"/>
      <c r="C211" s="69"/>
      <c r="D211" s="69"/>
      <c r="E211" s="69"/>
      <c r="F211" s="69"/>
      <c r="G211" s="69"/>
      <c r="H211" s="69"/>
      <c r="I211" s="69"/>
      <c r="J211" s="69"/>
    </row>
  </sheetData>
  <sheetProtection selectLockedCells="1" selectUnlockedCells="1"/>
  <mergeCells count="164">
    <mergeCell ref="O4:O8"/>
    <mergeCell ref="P4:P8"/>
    <mergeCell ref="L15:M15"/>
    <mergeCell ref="L18:M18"/>
    <mergeCell ref="N1:P1"/>
    <mergeCell ref="L2:P2"/>
    <mergeCell ref="P13:P39"/>
    <mergeCell ref="L14:M14"/>
    <mergeCell ref="A4:A8"/>
    <mergeCell ref="B4:B8"/>
    <mergeCell ref="C4:C8"/>
    <mergeCell ref="D4:E8"/>
    <mergeCell ref="G4:L4"/>
    <mergeCell ref="M4:N8"/>
    <mergeCell ref="G5:G8"/>
    <mergeCell ref="H5:L5"/>
    <mergeCell ref="H6:J6"/>
    <mergeCell ref="K6:L8"/>
    <mergeCell ref="H7:H8"/>
    <mergeCell ref="I7:J7"/>
    <mergeCell ref="E13:F15"/>
    <mergeCell ref="L13:M13"/>
    <mergeCell ref="D9:E9"/>
    <mergeCell ref="K9:L9"/>
    <mergeCell ref="M9:N9"/>
    <mergeCell ref="A10:P10"/>
    <mergeCell ref="A11:P11"/>
    <mergeCell ref="A12:P12"/>
    <mergeCell ref="C37:C39"/>
    <mergeCell ref="C40:D40"/>
    <mergeCell ref="B13:B39"/>
    <mergeCell ref="C13:D15"/>
    <mergeCell ref="A13:A39"/>
    <mergeCell ref="C25:C27"/>
    <mergeCell ref="C28:C30"/>
    <mergeCell ref="C31:C33"/>
    <mergeCell ref="C22:C24"/>
    <mergeCell ref="E40:F40"/>
    <mergeCell ref="L40:M40"/>
    <mergeCell ref="O40:O48"/>
    <mergeCell ref="P40:P48"/>
    <mergeCell ref="L41:M41"/>
    <mergeCell ref="A49:B57"/>
    <mergeCell ref="O49:O51"/>
    <mergeCell ref="P49:P51"/>
    <mergeCell ref="A40:A48"/>
    <mergeCell ref="B40:B48"/>
    <mergeCell ref="A58:O58"/>
    <mergeCell ref="A59:O59"/>
    <mergeCell ref="A60:O60"/>
    <mergeCell ref="B61:B72"/>
    <mergeCell ref="C61:C62"/>
    <mergeCell ref="E61:E62"/>
    <mergeCell ref="G61:G62"/>
    <mergeCell ref="H61:H62"/>
    <mergeCell ref="I61:I62"/>
    <mergeCell ref="J61:J62"/>
    <mergeCell ref="L61:L62"/>
    <mergeCell ref="N61:N62"/>
    <mergeCell ref="O61:O72"/>
    <mergeCell ref="P61:P72"/>
    <mergeCell ref="C63:C64"/>
    <mergeCell ref="E63:E64"/>
    <mergeCell ref="G63:G64"/>
    <mergeCell ref="H63:H64"/>
    <mergeCell ref="I63:I64"/>
    <mergeCell ref="N65:N66"/>
    <mergeCell ref="A61:A72"/>
    <mergeCell ref="O73:O83"/>
    <mergeCell ref="P73:P83"/>
    <mergeCell ref="C73:D73"/>
    <mergeCell ref="C74:D74"/>
    <mergeCell ref="J63:J64"/>
    <mergeCell ref="L63:L64"/>
    <mergeCell ref="N63:N64"/>
    <mergeCell ref="C65:C66"/>
    <mergeCell ref="E65:E66"/>
    <mergeCell ref="A85:B93"/>
    <mergeCell ref="A96:P96"/>
    <mergeCell ref="O97:O99"/>
    <mergeCell ref="I97:I99"/>
    <mergeCell ref="O85:O90"/>
    <mergeCell ref="P85:P90"/>
    <mergeCell ref="A94:P94"/>
    <mergeCell ref="A95:P95"/>
    <mergeCell ref="H97:H99"/>
    <mergeCell ref="C101:D101"/>
    <mergeCell ref="C75:D76"/>
    <mergeCell ref="J65:J66"/>
    <mergeCell ref="J97:J99"/>
    <mergeCell ref="L97:M99"/>
    <mergeCell ref="G65:G66"/>
    <mergeCell ref="H65:H66"/>
    <mergeCell ref="I65:I66"/>
    <mergeCell ref="L65:L66"/>
    <mergeCell ref="L100:M100"/>
    <mergeCell ref="L101:M101"/>
    <mergeCell ref="P97:P137"/>
    <mergeCell ref="C135:C137"/>
    <mergeCell ref="B97:B114"/>
    <mergeCell ref="C97:D99"/>
    <mergeCell ref="E97:F99"/>
    <mergeCell ref="G97:G99"/>
    <mergeCell ref="C125:C128"/>
    <mergeCell ref="C129:C131"/>
    <mergeCell ref="A97:A114"/>
    <mergeCell ref="C117:C118"/>
    <mergeCell ref="C119:C121"/>
    <mergeCell ref="C122:C124"/>
    <mergeCell ref="C108:C109"/>
    <mergeCell ref="N97:N99"/>
    <mergeCell ref="C102:C103"/>
    <mergeCell ref="C104:C105"/>
    <mergeCell ref="C106:C107"/>
    <mergeCell ref="E101:F101"/>
    <mergeCell ref="C149:C150"/>
    <mergeCell ref="E149:E150"/>
    <mergeCell ref="K149:K152"/>
    <mergeCell ref="C156:C158"/>
    <mergeCell ref="L139:L141"/>
    <mergeCell ref="A138:A148"/>
    <mergeCell ref="B138:B148"/>
    <mergeCell ref="C139:C141"/>
    <mergeCell ref="E139:E141"/>
    <mergeCell ref="G139:G141"/>
    <mergeCell ref="E165:F165"/>
    <mergeCell ref="L165:M165"/>
    <mergeCell ref="H139:H141"/>
    <mergeCell ref="I139:I141"/>
    <mergeCell ref="O139:O141"/>
    <mergeCell ref="O142:O145"/>
    <mergeCell ref="L164:M164"/>
    <mergeCell ref="N139:N141"/>
    <mergeCell ref="J139:J141"/>
    <mergeCell ref="A188:B197"/>
    <mergeCell ref="E189:F189"/>
    <mergeCell ref="E190:F190"/>
    <mergeCell ref="L190:M190"/>
    <mergeCell ref="O178:O186"/>
    <mergeCell ref="C163:D163"/>
    <mergeCell ref="E163:F163"/>
    <mergeCell ref="C164:D164"/>
    <mergeCell ref="E164:F164"/>
    <mergeCell ref="B163:B171"/>
    <mergeCell ref="P178:P186"/>
    <mergeCell ref="O188:O197"/>
    <mergeCell ref="P188:P197"/>
    <mergeCell ref="B115:B137"/>
    <mergeCell ref="A115:A137"/>
    <mergeCell ref="C132:C134"/>
    <mergeCell ref="N159:N162"/>
    <mergeCell ref="P138:P171"/>
    <mergeCell ref="A187:P187"/>
    <mergeCell ref="B173:B174"/>
    <mergeCell ref="A178:B186"/>
    <mergeCell ref="A163:A171"/>
    <mergeCell ref="C34:C36"/>
    <mergeCell ref="B73:B83"/>
    <mergeCell ref="A73:A83"/>
    <mergeCell ref="C110:C111"/>
    <mergeCell ref="C112:C113"/>
    <mergeCell ref="A173:A174"/>
    <mergeCell ref="A149:A162"/>
    <mergeCell ref="B149:B15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3" r:id="rId1"/>
  <rowBreaks count="1" manualBreakCount="1">
    <brk id="9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retivova_vyu</cp:lastModifiedBy>
  <cp:lastPrinted>2023-04-05T09:13:36Z</cp:lastPrinted>
  <dcterms:modified xsi:type="dcterms:W3CDTF">2023-04-05T09:32:32Z</dcterms:modified>
  <cp:category/>
  <cp:version/>
  <cp:contentType/>
  <cp:contentStatus/>
</cp:coreProperties>
</file>