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2 уточ." sheetId="1" r:id="rId1"/>
  </sheets>
  <definedNames>
    <definedName name="Excel_BuiltIn_Print_Area" localSheetId="0">'2022 уточ.'!$A$1:$M$771</definedName>
    <definedName name="_xlnm.Print_Area" localSheetId="0">'2022 уточ.'!$A$1:$M$772</definedName>
  </definedNames>
  <calcPr fullCalcOnLoad="1"/>
</workbook>
</file>

<file path=xl/comments1.xml><?xml version="1.0" encoding="utf-8"?>
<comments xmlns="http://schemas.openxmlformats.org/spreadsheetml/2006/main">
  <authors>
    <author> </author>
    <author>retivova_vyu</author>
  </authors>
  <commentList>
    <comment ref="J196" authorId="0">
      <text>
        <r>
          <rPr>
            <b/>
            <sz val="9"/>
            <color indexed="8"/>
            <rFont val="Tahoma"/>
            <family val="2"/>
          </rPr>
          <t xml:space="preserve">retivova_vyu:
</t>
        </r>
      </text>
    </comment>
    <comment ref="A249" authorId="1">
      <text>
        <r>
          <rPr>
            <b/>
            <sz val="9"/>
            <rFont val="Tahoma"/>
            <family val="2"/>
          </rPr>
          <t>retivova_vyu: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<sst xmlns="http://schemas.openxmlformats.org/spreadsheetml/2006/main" count="985" uniqueCount="365">
  <si>
    <t xml:space="preserve">Приложение № 2 к программе "Развитие образования </t>
  </si>
  <si>
    <t xml:space="preserve">       4.   Мероприятия муниципальной подпрограммы «Развитие дошкольного, общего и дополнительного образования ЗАТО г.Радужный Владимирской области»</t>
  </si>
  <si>
    <t>,</t>
  </si>
  <si>
    <t xml:space="preserve">Направление мероприятия </t>
  </si>
  <si>
    <t xml:space="preserve">Срок исполнения </t>
  </si>
  <si>
    <t>Объём финансирования (тыс.руб.)</t>
  </si>
  <si>
    <t>В том числе:</t>
  </si>
  <si>
    <t>Внебюджетные средства</t>
  </si>
  <si>
    <t>Исполнители - ответственные за реализацию мероприятия</t>
  </si>
  <si>
    <t>Ожидаемые результаты:                                   Показатели оценки эффективности  (качественные, количественные)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</si>
  <si>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</si>
  <si>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</si>
  <si>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</si>
  <si>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</si>
  <si>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</si>
  <si>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</si>
  <si>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</si>
  <si>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</si>
  <si>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>1. Развитие системы обеспечения доступности качества образовательных услуг</t>
  </si>
  <si>
    <t>Цели: Обеспечение качества образования; обеспечение доступности дошкольного, общего и дополнительного образования, в том числе онлайн-образование; создание условий для внедрения современной и безопасной цифровой среды  города , обеспечивающей высокое качество и доступность образования всех видов уровней.</t>
  </si>
  <si>
    <t xml:space="preserve">Задачи:
1. Создание в системе общего и дополнительного образования равных возможностей для полноценного развития каждого ребенка и получения качественного образования; 
2. Повышение привлекательности работы в должности педагога в муниципальных образовательных учреждениях;
3. Включение в комплексную цифровую ифроструктуру системы образования региона.
</t>
  </si>
  <si>
    <t>1.Е1.1</t>
  </si>
  <si>
    <t xml:space="preserve">Всего </t>
  </si>
  <si>
    <t>1.Е1.2</t>
  </si>
  <si>
    <t>Создание для учителей предметной области "Технология" чистемы повышения квалификации на базе детских технопарков "Кванториум"</t>
  </si>
  <si>
    <t>1.Е2.1</t>
  </si>
  <si>
    <t xml:space="preserve"> во всех общеобразовательных организациях будет обновлена материально-техническая база для занятий физической культурой и спортом;</t>
  </si>
  <si>
    <t>1.Е3.1</t>
  </si>
  <si>
    <t xml:space="preserve"> доля общеобразовательных организаций, реализующих обра-зовательные программы с использованием дистанционных технологий, в общей численности общеобразовательных организаций составит не менее 100%;
 обеспечена доступность консультативной, коррекционно-развивающей и методической помощи родителям (законным представителям) детей-инвалидов, детей с ОВЗ, детей-сирот и детей, оставшихся без попечения родителей;
</t>
  </si>
  <si>
    <t>1.Е4.1</t>
  </si>
  <si>
    <t>2021</t>
  </si>
  <si>
    <t xml:space="preserve">- к 2021 году во всех образовательных организациях города, реализующих образовательные программы общего образования, будет внедрена целевая модель цифровой образовательной среды;
- к 2022 году в региональном банке эффективных педагогиче-ских практик будет размещено представление опыта работы пилотных образовательных организаций (инновационных площадок) по внедрению в образовательную программу совре-менных цифровых технологий;
- к 2025 году в  100% организаций общего образования будут применяться ресурсы региональной системы электронного и дистанционного обучения в образовательном процессе;
- к 2025 году не менее 20% обучающихся по программам общего образования будут использовать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программам;
- к 2025 году все образовательные организации обновят информационное наполнение и функциональные возможности открытых и общедоступных информационных ресурсов;
- к 2025 году не менее 50% педагогических работников обще-го образования пройдут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 от общего числа педагогических работников общего образования, привлекаемых к образовательной деятельности;
- к 2025 году для не менее чем 500 детей, обучающихся в 50% общеобразовательных организаций, в основные общеобразова-тельные программы будут внедрены современные цифровые технологии;
- к 2025 году  не менее 90%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с использованием федеральной
информационно-сервисной платформы цифровой образовательной среды, в общем числе обучающихся по указанным программам;
- к 2025 году  100%  образовательных организаций, реализую-щих программы общего образования, дополнительного
образования детей, осуществляющих образовательную
деятельность с использованием федеральной информационно-сервисной платформы цифровой образовательной среды, в об-щем числе образовательных организаций;
- к 2021 году все общеобразовательные организации, располо-женные на территории города, обеспечены Интернет-соединением со скоростью соединения не менее 100Мб/c – для образовательных организаций, расположенных в городах, 50Мб/c – для  образовательных организаций, расположенных в сельской местности и в поселках городского типа, а также гарантированным интернет трафиком
- будет доведено до 100% число зданий муниципальных образовательных организаций, в которых проведены мероприятия по благоустройству в целях соблюдения требований к воздушно-тепловому режиму, водоснабжению и канализации, в соответствии с постановлением главного государственного санитарного врача Российской Федерации от 29 декабря 2010 г. N 189 "Об утверждении СанПиН 2.4.2.2821-10 "Санитарно-эпидемиологические требования к условиям и организации обучения в общеобразовательных учреждениях";
- к 2023 году будет создано 100 новых мест в МБОУ сош № 1.
</t>
  </si>
  <si>
    <t>1.Е4.2</t>
  </si>
  <si>
    <t>Размещение муниципальными образованиями Владимирской области в региональном банке эффективных педагогических практик предоставления опыта работы пилотных образовательных организаций (инновационных площадок) по внедрению в образовательную программу современных цифровых технологий"</t>
  </si>
  <si>
    <t>1.Е4.3</t>
  </si>
  <si>
    <t>Применение организациями общего образования ресурсов региональной системы электронного и дистанционного обучения  в оразовательном процессе"</t>
  </si>
  <si>
    <t>1.Е4.4</t>
  </si>
  <si>
    <t>Использование  образоват-ельными организациями Владимирской области ресурсов региональной системы оценки качества образования"</t>
  </si>
  <si>
    <t>1.Е4.5</t>
  </si>
  <si>
    <t>Обновление  образова-тельнеыми организациями, расположенными на территории  Владимирской области , информационного наполнения  и функциональ-ных возможностей открытых и общедоступных инфор-мационных ресурсов с ис-пользованием ИС "Платформа сайтов"</t>
  </si>
  <si>
    <t>1.Е4.6</t>
  </si>
  <si>
    <t>Повышение квалификации работников , привлекаемых к осуществлению образовательной деятельности, с целью повышения их компетенций в области современных технологий.</t>
  </si>
  <si>
    <t>1.Е4.7</t>
  </si>
  <si>
    <t>Внедрение в основные общеобразовательные программы детей, обучающихся в общеобразовательных организациях  современных цифровых технологий.</t>
  </si>
  <si>
    <t>1.Е4.8</t>
  </si>
  <si>
    <t>Реализация программы  профессиональной переподготовки руково-дителей образовательных организаций  по внедрению и функционированию в образовательных органи-зациях целевой модели цифро-вой образовательной среды.</t>
  </si>
  <si>
    <t>1.Е5.1</t>
  </si>
  <si>
    <t>Итого по нац проектам</t>
  </si>
  <si>
    <t>Итого</t>
  </si>
  <si>
    <t>1.1.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</si>
  <si>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учреждений, оценка профессиональных рисков,  оснащение методического кабинета оборудованием и материалами для проведения в дистанционной форме  мероприятий по вопросам организации обраховательного процесса                                      </t>
  </si>
  <si>
    <t>Управление образования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</si>
  <si>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</si>
  <si>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>1.2.</t>
  </si>
  <si>
    <t>Развитие системы выявления и поддержки одаренных детей совершенствование воспитательной работы : организация и проведение городских мероприятий; участие в областных, региональных, всероссийских, международных конкурсах, фестивалях, смотрах, соревнованиях и др.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</si>
  <si>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
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</si>
  <si>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 xml:space="preserve">Управление образования    </t>
  </si>
  <si>
    <t>Рост числа участников олимпиад, конкурсов, фестивалей, выставок к общему количеству обучающихся: 2017 г.-79%, 2018 г.- 80%, 2019 г.- 81%, 2020г. -73,2%, 2021г. -73,3%, 2022г. -75,4%</t>
  </si>
  <si>
    <t>Управление образования    в т. ч 40,250- премия отличникам учебы</t>
  </si>
  <si>
    <t>Приобретение методической литературы для работы с детьми с ограниченными возможностями</t>
  </si>
  <si>
    <t>1.2.2.</t>
  </si>
  <si>
    <t>Премия отличникам учебы</t>
  </si>
  <si>
    <t>1.3.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</si>
  <si>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</si>
  <si>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 xml:space="preserve">Управление образования  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</si>
  <si>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-4,5%, 2021г. -5%, 2022г. -5%,2023г. -5%</t>
  </si>
  <si>
    <t xml:space="preserve">Управление образования </t>
  </si>
  <si>
    <t>1.4.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</si>
  <si>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образования, муниципальный конкурс мастерсвтва "Педагог года", городской фестиваль творческих работ педагог. работников образования</t>
  </si>
  <si>
    <t>1.5.</t>
  </si>
  <si>
    <t>. Проведение городских праздников "День знаний", " "Выпускник", "День учителя"</t>
  </si>
  <si>
    <t>Повышение престижа педагогической профессии, продолжение обучения в ВУЗах и СУЗах выпускников 11 классов: 2017 г.- 88%, 2018 г.- 89%, 2019 г.- 90%, 2020г. -95%,2021г. -95%, 2022г. -95%,2023г. -95%</t>
  </si>
  <si>
    <t>1.6.</t>
  </si>
  <si>
    <t xml:space="preserve"> Проведение военных сборов       (участие в проведении акции "День призывника")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</si>
  <si>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-100%, 2021г. -100%, 2022г. -100%,2023г. -100%</t>
  </si>
  <si>
    <t>1.7.</t>
  </si>
  <si>
    <t xml:space="preserve"> Поощрение лучших учителей-лауреатов областного конкурса</t>
  </si>
  <si>
    <t>МБОУ СОШ № 1</t>
  </si>
  <si>
    <t>Вознаграждение за конкурс "Лучший учитель" 2017 г.-100%, 2018 г.- 100%, 2019 г.-100%, 2020г- 100%, 2021г- 100%, 2022г. -100%,2023г. -100%</t>
  </si>
  <si>
    <t>МБОУ СОШ № 2</t>
  </si>
  <si>
    <t>1.8.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</si>
  <si>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Содержание спортивной площадки МБОУ СОШ№2,  Поощрение ГРБС, добившихся высоких результатов в использовании бюджетных ассигнований и качества управления финансами.</t>
  </si>
  <si>
    <t>Унификация программного продукта. Внедрение программного комплекса «1С: управление школой», "Барс" в 2017 г.-100%, 2018 г.- 100%, 2019 г.- 100% , 2020г- 100%, 2021г- 100%, 2022г. -100%,2023г. -100%. Удельный вес числа общеобразовательных учреждений, имеющих скорость подключения к информационно-телекоммуникационной сети "Интернет" от 1 Мбит/с и выше, в общем числе общеобразовательных учреждений, подключенных к информационно-телекоммуникационной сети "Интернет", - 100%.   Доля общеобразовательных учреждений, использующих дистанционные технологии, в общей численности общеобразовательных учреждений: 2017 г.-  50%, 2018 г. - 50%, 2019 г. -100%, 2020 г.  - 100%, 2021г- 100%, 2022г. -100%,2023г. -100%</t>
  </si>
  <si>
    <t>МБДОУ ЦРР Д/С № 3</t>
  </si>
  <si>
    <t>МБДОУ ЦРР Д/С № 5</t>
  </si>
  <si>
    <t>МБДОУ ЦРР Д/С № 6</t>
  </si>
  <si>
    <t>МБОУДО ЦВР "Лад"</t>
  </si>
  <si>
    <t>МБОУ СОШ №1</t>
  </si>
  <si>
    <t>МБОУ СОШ №2</t>
  </si>
  <si>
    <t>1.9.</t>
  </si>
  <si>
    <t>Обеспечение безопасности дорожного движения</t>
  </si>
  <si>
    <t>1.10</t>
  </si>
  <si>
    <t>Обеспечение прозрачности процедуры проведения государственной итоговой аттестации и соблюдения требований ФЗ "Об образовании в РФ" в 2017 г.-100%, 2018 г.- 100%, 2019 г.- 100%, 2020г.- 100%, 2021г- 100%,2022г. -100%,2023г. -100%</t>
  </si>
  <si>
    <t>1.11.</t>
  </si>
  <si>
    <t xml:space="preserve">Устройство исистемы видеонаблюения спортивно-игровой площадки на межшкольном стадионе </t>
  </si>
  <si>
    <t>управление образования</t>
  </si>
  <si>
    <t>1.12.</t>
  </si>
  <si>
    <t xml:space="preserve"> Приобретение автобуса" Газель Next" в МБОУ ДОД ЦВР "Лад",газового оборудования в котельную МБОУ СОШ №1 и МБДОУ ЦРР Д/С №5</t>
  </si>
  <si>
    <t>Создание условий для участия обучающихся образовательных учреждений в конкурсах, соревнованиях за пределами города.</t>
  </si>
  <si>
    <t>1.13.</t>
  </si>
  <si>
    <t>Укрепление МТБ (приобретение)</t>
  </si>
  <si>
    <t>1.14.</t>
  </si>
  <si>
    <t>Проведение специальной оценки условий труда</t>
  </si>
  <si>
    <t>1.15.</t>
  </si>
  <si>
    <t>Создание и функционирование на базе МБОУ ДО ЦВР "Лад"консультационного пункта по оказанию услуг психолого-педагогической, методической и консультативной помощи родителям (законным представителям) детей,  гражданам желающим принять на воспитание в свою семью детей, оставшихся без попечения родителей в рамках реализации проекта «Государственная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имеющих детей» в рамках федерального проекта  «Поддержка семей, имеющих детей» национального проекта «Образование» государственной программы Российской Федерации «Развитие образования».</t>
  </si>
  <si>
    <t>Управление образования, МБОУ ДО ЦВР "Лад"</t>
  </si>
  <si>
    <t xml:space="preserve">Оказание психолого- педагогической , методической и консультативной помощи обратившихся родителей (законных представителей), гражданам, желающим принять на воспитание в свою семью детей, оставшихся без попечения родителей. Повышение компетентности родителей (законных представителей) в вопросах воспитания и образования детей.                                                   Количество услуг психолого-педагогической, методической и консультативной помощи  ро-дителям (законным представителям) детей, а также  гражданам, желающим принять на вос-питание в свою семью детей, оставшихся без попечения родителей.2019 г-190;  2020г. 380; 2021г. - 240; 2022г. - 240; 2023г.-240; </t>
  </si>
  <si>
    <t>1.16.</t>
  </si>
  <si>
    <t>Мероприятия, связанные с профилактикой и предотвращением коронавирусной инфекции</t>
  </si>
  <si>
    <t>Обеспечение безопасности распространения новой коронавирусной инфекции</t>
  </si>
  <si>
    <t>Итого по разделу 1:</t>
  </si>
  <si>
    <t xml:space="preserve">2. "Обеспечение лицензионных требований к деятельности образовательных учреждений" </t>
  </si>
  <si>
    <t>Цель: Развитие инфраструктурыи обеспечение безопасностиобучающихся и работников образовательных учреждений во время их учебной и трудовой деятельностипутем проведения реконструкций , капитальногои текущегоремонтов, повышениябезопасностижизнедеятельности: пожарной, антитеррористической , а также технической и электрической безопасностизданий, сооружений иобразовательных учреждений.</t>
  </si>
  <si>
    <t>Мероприятия:</t>
  </si>
  <si>
    <t>2.1.</t>
  </si>
  <si>
    <t>Проектные работы, реконструкция, текущие ремонты</t>
  </si>
  <si>
    <t>тек. ремонт</t>
  </si>
  <si>
    <t>МКУ «ГКМХ», управление образования</t>
  </si>
  <si>
    <t xml:space="preserve">Доля образовательных учреждений общего образования, дополнительного образования, в которых обеспечены условия для реализации соответствующих программ, в общем количестве учреждений: 2017 год - 100%, 2018 год  - 100%,  2019 год - 100%, 2020 год - 100%, 2021г- 100%, 2022г- 100%, 2023г- 100%. 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 Удельный вес численности обучающихся в зданиях, имеющих все виды благоустройств - 100%.
</t>
  </si>
  <si>
    <t>ремонт п/блока</t>
  </si>
  <si>
    <t>МКУ «ГКМХ»</t>
  </si>
  <si>
    <t>ГКМХ СОШ № 1 -софин-е</t>
  </si>
  <si>
    <t>МКУ "ГКМХ"</t>
  </si>
  <si>
    <t>Ремонт трубопровода системы отопления в подвале</t>
  </si>
  <si>
    <t>Ремонт полов, отмостков и кирпичной кладки прогулочных веранд гр, №10,12,14,13,8,1,9,5</t>
  </si>
  <si>
    <t>Ремонт кровли пищеблока</t>
  </si>
  <si>
    <t xml:space="preserve">Замена пократия линолиума в керамическую плиткупола  в коридорах </t>
  </si>
  <si>
    <t>Текущий ремонт инженерных коммуникаций в подвале блока №2</t>
  </si>
  <si>
    <t>Замена канализационных труб 3 блока идущих от здания  к канализационному люку со стороны пищеблока.</t>
  </si>
  <si>
    <t>Установка узлов смешивания на трубы полового отопления</t>
  </si>
  <si>
    <t>Текущий ремонт групп 3.1,3.2,3.3 (линолеум)</t>
  </si>
  <si>
    <t xml:space="preserve">замена покрытия пола коридора  2 этажа </t>
  </si>
  <si>
    <t>Ремонт стен в коридорах 1 и 2 этажей</t>
  </si>
  <si>
    <t xml:space="preserve">Замена пократия пола </t>
  </si>
  <si>
    <t>комплекс работ по ремонту метал. Калитки</t>
  </si>
  <si>
    <t>замена дверного блока , балконных блоков</t>
  </si>
  <si>
    <t>Монгтаж системы отключения приточной вентиляции при пожаре</t>
  </si>
  <si>
    <t>ремонт регистров в раздевалке гр.3-5 лесовичок, ремонт стен второго этажа, замена уплотнителя и мелкий ремонт окон</t>
  </si>
  <si>
    <t>Замена покрытия пола в коридорах 1и 2 этажей в МДБОУ д/с № 5 предпеисание по пожарной безопасности</t>
  </si>
  <si>
    <t>Установка системы отключения общеобменной приточной вентиляции в прачке</t>
  </si>
  <si>
    <t>Установка доводчиков на двери поэтажных выходов</t>
  </si>
  <si>
    <t>Замена приборов учета воды: (расходомеры-3шт, датчики давления - 3 шт., тепловычислитель - 1 шт.)</t>
  </si>
  <si>
    <t>Замена регистров в раздевалке группы 3/5</t>
  </si>
  <si>
    <t>Замена регистров отопления в раздевалках</t>
  </si>
  <si>
    <t xml:space="preserve">Текущий ремонт 10 веранд </t>
  </si>
  <si>
    <t>Текущий ремонт помещений</t>
  </si>
  <si>
    <t>Текущий ремонт физкультурного зала, перехода в бассейн и тамбуров у вахты</t>
  </si>
  <si>
    <t>Текущий ремонт  в группах  № 2,4,5,12,8</t>
  </si>
  <si>
    <t>Текущий ремонт калиток</t>
  </si>
  <si>
    <t>Ремонт крыльца центрального входа в школу (путь эвакуации)</t>
  </si>
  <si>
    <t>Текущий ремонт  рекриации 2 и 3 этажа</t>
  </si>
  <si>
    <t>Текущий ремонт пищеблока столовой в здании начальной школы</t>
  </si>
  <si>
    <t>Текущий ремонт перехода в КЦ "Досуг"</t>
  </si>
  <si>
    <t>Ремонт потолка лестничной клетки</t>
  </si>
  <si>
    <t xml:space="preserve">Текущий ремонт вестибюля 
</t>
  </si>
  <si>
    <t>Устройство системы вытяжной вентиляции от шкафов кабинета химии - основное здание, кабинет №21</t>
  </si>
  <si>
    <t>ремонт рекреации первого этажа, приобретение краски для покарскаи забора</t>
  </si>
  <si>
    <t>Ремонт кабинета №18 и лаборантской ("Точка роста" - физика)</t>
  </si>
  <si>
    <t>Ремонт кабинета №19 робототехника("Точка роста" - технологическое направление)</t>
  </si>
  <si>
    <t>Ремонт кабинета №21 и лаборантской("Точка роста" - химия )</t>
  </si>
  <si>
    <t>Ремонт кабинета №22 и лаборантской ("Точка роста" - биология)</t>
  </si>
  <si>
    <t>Сантехнические работы в каб. "Точки роста"</t>
  </si>
  <si>
    <t xml:space="preserve">Ремонт кровли здания </t>
  </si>
  <si>
    <t>Ремонт ограждений спортивной площадки между школами</t>
  </si>
  <si>
    <t>приобретение краски для покраски  забора</t>
  </si>
  <si>
    <t>Текущий ремонт коридора 2 этажа блока "Б" в МБОУ ЦР "Лад"</t>
  </si>
  <si>
    <t>Текущий ремонт системы отопления в помещениях</t>
  </si>
  <si>
    <t>текущий ремонт помещений здания бани в ДОЛ "Лесной городок"</t>
  </si>
  <si>
    <t>Замена решетки в зале музея боевой славы В.О. в каб.25</t>
  </si>
  <si>
    <t>2.1.1.</t>
  </si>
  <si>
    <t>Общеобразовательных учреждений (текущий ремонт)</t>
  </si>
  <si>
    <t>2.1.2.</t>
  </si>
  <si>
    <t>Учреждения дополнительного образования (текущий ремонт)</t>
  </si>
  <si>
    <t>2.1.3.</t>
  </si>
  <si>
    <t>Дошкольных учреждений  (текущий ремонт)</t>
  </si>
  <si>
    <t>2.2.</t>
  </si>
  <si>
    <t>Обеспечение пожарной безопасности образовательных учреждений согласно требованиям  пожарной безопасностина 100 %</t>
  </si>
  <si>
    <t>Обеспечение пожарной безопасности образовательных учреждений</t>
  </si>
  <si>
    <t>Замена трансформаторов тока,плавких предохранителей на автоматические выключатели в ВРУ</t>
  </si>
  <si>
    <t xml:space="preserve">Реконструкция АПС с заменой датчиков </t>
  </si>
  <si>
    <t>Разработка проекта на систему оповещенияи управления эвакуацией</t>
  </si>
  <si>
    <t>Перенос датчиков пожарной сигнализации от осветительных приборов - основное здание</t>
  </si>
  <si>
    <t>Замена планов эвакуации в основном здании</t>
  </si>
  <si>
    <t>оснащение системной охранной сигнализацией</t>
  </si>
  <si>
    <t>2.3.</t>
  </si>
  <si>
    <t xml:space="preserve">Обеспечение антитеррористической защищенности, пожарной безопасности общеобразовательных организаций .                            </t>
  </si>
  <si>
    <t>2.3.1.</t>
  </si>
  <si>
    <t>Поставка мегафона  и оповещателя</t>
  </si>
  <si>
    <t>2.3.2.</t>
  </si>
  <si>
    <t>Приобретение первичных средств пожаротушения (огнетушители)</t>
  </si>
  <si>
    <t xml:space="preserve">Обеспечение 100 % контроля по периметру здания в целях предупреждения возникновения угроз различного характера                   </t>
  </si>
  <si>
    <t>2.3.3.</t>
  </si>
  <si>
    <t>Дополнительное оборудование здания начальных классов системой наружного и внутреннего  видеонаблюдения.</t>
  </si>
  <si>
    <t>Охват видеонаблюдением до 80 % помещений общего пользования лестничные клетки и коридоры 1-2 эт. здания начальных классов; фойе и рекриации 2-3 эт. в основном здании)</t>
  </si>
  <si>
    <t>2.3.4.</t>
  </si>
  <si>
    <t xml:space="preserve">Дополнительное оборудование основного здания  системой наружного и внутреннего видеонаблюдения: </t>
  </si>
  <si>
    <t>Доборудование дополнительными сетевыми камерами и коммутационной стойкой системы видеонаблюдения, видеорегистрации ЛВС основное здание "МБОУ СОШ № 1".</t>
  </si>
  <si>
    <t>Ремонт системы видеонаблюдения и установка дополнительного речевого модуля системы оповещения</t>
  </si>
  <si>
    <t>100% охват рекриаций 1-3 этажей видеонаблюдением, качественное воспроизведение записей, обеспеченность антитеррористической защищенности объекта на всех этажах</t>
  </si>
  <si>
    <t>2.3.5.</t>
  </si>
  <si>
    <t>Оборудование видеокамерами цветного изображения рекреаций 1-3 этажей</t>
  </si>
  <si>
    <t>Замена 30% автоматических выключателей для защиты распределительной сети</t>
  </si>
  <si>
    <t>2.4.</t>
  </si>
  <si>
    <t>Приобретение автоматических выключателей в электрощитки (замена)</t>
  </si>
  <si>
    <t>2.4.1.</t>
  </si>
  <si>
    <t>"Укрепление материально-технической базы образовательных учреждений.</t>
  </si>
  <si>
    <t>Укрепление МТБ муниципальных образовательных  учреждений за счет ремонтва зданий (помещений) в здании начальных классов средней школы № 1</t>
  </si>
  <si>
    <t>2.4.2.</t>
  </si>
  <si>
    <t>2.5.</t>
  </si>
  <si>
    <t>Антитеррористическая безопасность.                             Паспорта безопасности</t>
  </si>
  <si>
    <t>2.5.1.</t>
  </si>
  <si>
    <t xml:space="preserve">Установка камер видеонаблюдения </t>
  </si>
  <si>
    <t>2.5.2</t>
  </si>
  <si>
    <t>2.5.3.</t>
  </si>
  <si>
    <t>Оснащение въездов на объект средствами снижения скорости</t>
  </si>
  <si>
    <t>2.5.4.</t>
  </si>
  <si>
    <t>Замена входных дверей главного запасного входа</t>
  </si>
  <si>
    <t>2.5.5.</t>
  </si>
  <si>
    <t>Синхронизация СКУД и домофонов</t>
  </si>
  <si>
    <t>2.5.6.</t>
  </si>
  <si>
    <t>Приобретение аккууляторов для КТС</t>
  </si>
  <si>
    <t>2.6.</t>
  </si>
  <si>
    <t>Мероприятия по подготовке  к новому учебному году</t>
  </si>
  <si>
    <t>Мероприяти по подготовке к началу учебного года муниципальных дошкольных образовательных учреждений</t>
  </si>
  <si>
    <t>Мероприяти по подготовке к началу учебного года муниципальных общеобразовательных учреждений</t>
  </si>
  <si>
    <t>Итого по разделу 2:</t>
  </si>
  <si>
    <t xml:space="preserve">     3.Выполнение муниципальных заданий</t>
  </si>
  <si>
    <t>Цель: Реализация основных общеобразовательных программ  дошкольного, начального, основного,  среднего  образования и  реализация дополнительных общеразвивающих программ</t>
  </si>
  <si>
    <t>Задача: Обеспечение условий реализации образовательных программ соответствующих уровней.</t>
  </si>
  <si>
    <t>3.1.</t>
  </si>
  <si>
    <t>Нормативные затраты, непосредственно связанные с оказанием муниципальных услуг</t>
  </si>
  <si>
    <t xml:space="preserve">Удельный вес численности детей дошкольных образовательных учреждений в возрасте от 3 до 7 лет, охваченных образовательными программами, соответствующими новому образовательному стандарту дошкольного образования - 100%
Численность детей в дошкольных образовательных учреждениях, приходящихся на одного педагогического работника, к 2020 году - 9,7, 2021 году - 9,7.
Доля детей-инвалидов дошкольного возраста, охваченных социальной поддержкой, -100%
Отношение среднемесячной заработной платы педагогических работников муниципальных дошкольных образовательных учреждений к средней заработной плате в общем образовании Владимирской области - 100%.
Удельный вес численности обучающихся в образовательных учреждениях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образованияк 2020 г. - 100%, 2021 году - 100%.
Удельный вес численности учащихся 9-10 классов, обучающихся по программам предпрофильной подготовки и программам профильного обучения к 2020 г. - 50%, 2021 г. - 52%, 2022 г. - 53%, 2023 г. - 54%.
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
Число обучающихся в расчете на одного педагогического работника общего образования - 15,5.
Доля общеобразовательных учреждений, использующих дистанционные технологии, в общей численности общеобразовательных учреждений, к 2021 г. - 50%,  2022 г. - 50%,  2023 г. - 100%.
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обучение, к 2020 г. -5%, 2021-2%, 2022-2%, 2023-2%.
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во Владимирской области, 100%.
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 - к 2020 г. - 75%,2021г-76%, 2022г.-77%, 2023г.-78,5, 2024г.-80%.
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во Владимирской области - 100%
Удельный вес числа образовательных учреждений, в которых созданы органы коллегиального управления с участием общественности (родители, работодатели), в общем числе образовательных учреждений - 100%.
Удельный вес числа образовательных учреждений,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учреждений - 100%.
Доля детей-инвалидов в возрасте от 5 до 18 лет, получающих дополнительное образование, от общей численности детей-инвалидов данного возраста - к 2020 г. 46%, 2021г.-52%, 2022г.-58%, 2023г.-64%, 2024г.-70%.
Доля педагогических и руководящих работников муниципальных образовательных учреждений, прошедших в течение последних 3 лет повышение квалификации или профессиональную переподготовку, 100%
</t>
  </si>
  <si>
    <t>МБДОУ ЦРР Д/С №3</t>
  </si>
  <si>
    <t>МБДОУ ЦРР Д/С №5</t>
  </si>
  <si>
    <t>МБДОУ ЦРР Д/С №6</t>
  </si>
  <si>
    <t>3.2.</t>
  </si>
  <si>
    <t xml:space="preserve"> Выполнение  функций муниципального задания  </t>
  </si>
  <si>
    <t>МБОУ ДОД ЦВР "Лад" (софин.)</t>
  </si>
  <si>
    <t>МБДОУ Д/С №3</t>
  </si>
  <si>
    <t>МБДОУ  Д/С №5</t>
  </si>
  <si>
    <t>МБДОУ Д/С №6</t>
  </si>
  <si>
    <t xml:space="preserve"> Выполнение  функций муниципального задания</t>
  </si>
  <si>
    <t>3.3.</t>
  </si>
  <si>
    <t>Итого по разделу 3:</t>
  </si>
  <si>
    <t>4. Выполнение управленческих функций, обеспечивающих стабильность работы подведомственных учреждений</t>
  </si>
  <si>
    <t>Цель: Повышение эффективности управления  в системе образования</t>
  </si>
  <si>
    <t>Задача: Реализация расходов на обеспечение деятельности муниципальных учреждений</t>
  </si>
  <si>
    <t>4.1.</t>
  </si>
  <si>
    <t xml:space="preserve"> Расходы на обеспечение деятельности (оказания услуг) муниципальных организаци</t>
  </si>
  <si>
    <t>ЦБ, МК упр. образования</t>
  </si>
  <si>
    <t xml:space="preserve"> Своевременное повышение квалификации работников управления образования ЗАТО г.Радужный, образовательных учреждений в 2017 г.-80%, 2018 г.-81%, 2019 г.- 82%, 2020г. 90% , 2021г.-92%, 2022г.-95%, 2023г.-97%.</t>
  </si>
  <si>
    <t>5. "Социальная поддержка населения"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</si>
  <si>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</si>
  <si>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</si>
  <si>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5.1.</t>
  </si>
  <si>
    <t>Социальная поддержка детей-инвалидов дошкольного возраста</t>
  </si>
  <si>
    <t>Доля детей-инвалидов дошкольного возраста, охваченных социальной поддержкой: 2017 год -100%, 2018 год - 100%, 2019 год - 100%, 2020 год - 100%, 2021 год - 100%, 2022 год - 100%, 2023 год - 100%</t>
  </si>
  <si>
    <t>5.2.</t>
  </si>
  <si>
    <t>Соцальная поддерка по оплате жилья и коммуных услуг отдельным категориям граждан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</si>
  <si>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- 100%, 2021 год - 100%, 2022 год - 100%, 2023 год - 100%</t>
  </si>
  <si>
    <t>5.3.</t>
  </si>
  <si>
    <t>Компенсация части родительской платы за содержание ребенка в  муниципальных образовательных учреждениях</t>
  </si>
  <si>
    <t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2018 год - 100%, 2019 год - 100%, 2020 год - 100%, 2021 год - 100%, 2022 год - 100%, 2023 год - 100%.</t>
  </si>
  <si>
    <t>Итого по разделу 5:</t>
  </si>
  <si>
    <t>6. Обеспечение персонифицированного финансирования дополнительного образования</t>
  </si>
  <si>
    <t>Цель: Обеспечение персонифицированного финансирования дополнительного образования</t>
  </si>
  <si>
    <t>6.</t>
  </si>
  <si>
    <t>Обеспечение персонифицированного финансирования дополнительного образования</t>
  </si>
  <si>
    <t>Управление образования, Комитет по культуре и спорту</t>
  </si>
  <si>
    <t>Итого по разделу 6:</t>
  </si>
  <si>
    <t>ИТОГО по подпрограмме:</t>
  </si>
  <si>
    <t>рекревция 1 этажа</t>
  </si>
  <si>
    <t>Текущий ремонт в группах № 6,9,10</t>
  </si>
  <si>
    <t>текущий ремонт канализации в санузле групп № 4,12</t>
  </si>
  <si>
    <t>Текущий ремонт канализационных труб от основного здания к канализационному люку со стороны пищеблока</t>
  </si>
  <si>
    <t>текущий ремонт линолеума в спортивном и театральном залах</t>
  </si>
  <si>
    <t>ремонт крыльца центрального входа в школу ( путь эвакуации)</t>
  </si>
  <si>
    <t>Замена окон в спортивном зале</t>
  </si>
  <si>
    <t>Ремонт кровли здания над спорзалом</t>
  </si>
  <si>
    <t>Замена витражей на 1-3 этажах (7 шт.)</t>
  </si>
  <si>
    <t>Ремонт кровли здания над спортзалом</t>
  </si>
  <si>
    <t>Текущий ремонт музея "Русская изба" в МБОУ ЦР "Лад"</t>
  </si>
  <si>
    <t>Замена приборов учета воды, теплоэнергии</t>
  </si>
  <si>
    <t>Замена автоматической пожарной сигнализации в центральном блоке</t>
  </si>
  <si>
    <t>Замена приборов учета</t>
  </si>
  <si>
    <t xml:space="preserve">Отделка путей эвакуации отделочными материалами с высокой степенью пожарной опасности </t>
  </si>
  <si>
    <t>двери в коридоре и на лестничной клетке предусмотренные документацией</t>
  </si>
  <si>
    <t>замена 1 двери в щитовую комнату</t>
  </si>
  <si>
    <t>Замена системы автоматической пожарной сигнализации</t>
  </si>
  <si>
    <t>текущий ремонт канализацонных труб от основного здания к канализационному люку со стороны пищеблока</t>
  </si>
  <si>
    <t>Ремонт музыкального зала, ремонт кровли, ремонт полового покрытия и т.д.</t>
  </si>
  <si>
    <t xml:space="preserve">Оказание охранных услуг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</si>
  <si>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</si>
  <si>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Установка обратных клапанов к термостатическим смесителям</t>
  </si>
  <si>
    <t>Ремонт циркуляционных стояков горячего водоснабжения</t>
  </si>
  <si>
    <t>ремонт козырьков из поликарбоната над центральным входами в здание</t>
  </si>
  <si>
    <t>Демонтаж козырьков из поликарбоната, выходящих на пешеходную дорожку                (4 шт.)</t>
  </si>
  <si>
    <t>Проведение специальной  оценки труда и независимоой оценки качества условий осуществления  образовательной деятельности образовательных организаций</t>
  </si>
  <si>
    <t>МБОУ СОШ № 1      МБОУ СОШ  № 2</t>
  </si>
  <si>
    <t>МБОУ СОШ № 1, МБОУ СОШ № 2</t>
  </si>
  <si>
    <t>МБОУ ДО ЦВР "Лад"</t>
  </si>
  <si>
    <t>Управление образования, методкабинет</t>
  </si>
  <si>
    <t>МБОУ ДО ЦВР "Лад", МБОУ СОШ №1 , МБДОУ ЦРР Д/С №5</t>
  </si>
  <si>
    <t>МБОУ ДО ЦВР "Лад" - приобрет винтовки</t>
  </si>
  <si>
    <t>МБОУ СОШ № 1 - м/ б-т</t>
  </si>
  <si>
    <t>МБОУ СОШ № 1--о/б, м/б (соф-е)</t>
  </si>
  <si>
    <t>МБОУ СОШ № 2 - м/ б-т</t>
  </si>
  <si>
    <t>МБОУ СОШ № 2--о/б, м/б (соф-е)</t>
  </si>
  <si>
    <t>МБДОУ ЦРР д/с № 3- о/б, м/б(соф-е)</t>
  </si>
  <si>
    <t>МБДОУ ЦРР д/с № 5- о/б, м/б(соф-е)</t>
  </si>
  <si>
    <t>МБДОУ ЦРР д/с № 6- о/б, м/б (соф-е)</t>
  </si>
  <si>
    <t>МБОУ ДО ЦВР  "Лад"  -    м/ б-т</t>
  </si>
  <si>
    <t>МБОУ ДО ЦВР " Лад" (дол)</t>
  </si>
  <si>
    <t>Управление образования,  МБОУ СОШ № 1</t>
  </si>
  <si>
    <t>МБОУ ДО ЦВР "Лад", МБОУ СОШ №1, СОШ " 2 , МБДОУ ЦРР Д/С №5; Д/с 3; Д/с 6</t>
  </si>
  <si>
    <t>МБОУ ДО ЦВР "Лад"  (все расходы)</t>
  </si>
  <si>
    <t>МБОУ ДО ЦВР "Лад" (софин.)</t>
  </si>
  <si>
    <t>МБОУ ДО ЦВР "Лад" (з/пл. педагогов доведение до указа президента)</t>
  </si>
  <si>
    <t xml:space="preserve"> МБОУ ДО ЦВР "Лад" (з/плата)</t>
  </si>
  <si>
    <t>МБОУ ДО ЦВР  " Лад" (софинанс к обл.)</t>
  </si>
  <si>
    <t xml:space="preserve"> МБОУ ДО ЦВР "Лад"(все расходы)</t>
  </si>
  <si>
    <t>МБОУ ДО  ЦВР "Лад" (з/плата)</t>
  </si>
  <si>
    <t>МБОУ ДО ЦВР " Лад"  (соф-е к обл)</t>
  </si>
  <si>
    <t xml:space="preserve"> МБОУ ДО ЦВР "Лад" (софин.)</t>
  </si>
  <si>
    <t>МБДОУ ЦРР д/с  № 3 (расх)</t>
  </si>
  <si>
    <t>МБДОУ ЦРР д/с № 5 (расх)</t>
  </si>
  <si>
    <t>МБДОУ  ЦРР д/с № 3 (з/пл)</t>
  </si>
  <si>
    <t>МБДОУ  ЦРР д/с № 5 (з/пл)</t>
  </si>
  <si>
    <t>МБДОУ  ЦРР д/с № 6 (расх)</t>
  </si>
  <si>
    <t>МБДОУ  ЦРР д/с № 6 (з/пл)</t>
  </si>
  <si>
    <t>МБОУ ДО  ЦВР "Лад"(расх)</t>
  </si>
  <si>
    <t>МБОУ ДО ЦВР "Лад"(соф-е к обл)</t>
  </si>
  <si>
    <t>МБОУ ДО  ЦВР "Лад" (софин.)</t>
  </si>
  <si>
    <t xml:space="preserve"> МБОУ ДО ЦВР "Лад"(мун зад)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</si>
  <si>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г.- 82%, 2020г. 90%,2021г. 90%, 2022-90%</t>
  </si>
  <si>
    <t xml:space="preserve">к 2024 году повысят квалификацию на базе детских технопарков "Кванториум", организаций, осуществляющих образовательную деятельность по образовательным программам среднего профессионального и высшего образования, предприятий реального сектора экономики, не менее 2 учителей предметной области "Технология";
- к 2024 году не менее 190 обучающихся будут охвачены основными и дополнительными общеобразовательными программами цифрового, естественнонаучного и гуманитарного профилей;
- к 2025 году не менее 70% обучающихся будут вовлечены в различные формы сопровождения и наставничества;
- к 2025 году 100% организаций реализуют программы началь-ного общего, основного общего и среднего общего образования в сетевой форме;
- к 2024 году в 100% общеобразовательных организаций будут реализовываться механизмы вовлечения общественно-деловых объединений и участвовать представители работодателей в принятии решений по вопросам управления развитием общеобразовательных организаций;
- к 2024 году не менее 1552 обучающихся станут участниками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профориентацию;
- к 2024 году не менее 150   детей получат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будущее";
- к 2024 году не менее 70% детей в ЗАТО г.Радужный с ограниченными возможностями здоровья будут обучаться по дополнительным общеобразовательным программам, в том числе с использованием дистанционных технологий;
- к 2024 году число детей, охваченных деятельностью детских технопарков "Кванториум" (мобильных технопарков "Кванто-риум") и других проектов, направленных на обеспечение дос-тупности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составит 180 человек;
</t>
  </si>
  <si>
    <t>1.2.1.</t>
  </si>
  <si>
    <t>на территории ЗАТО г. Радужный Владимирской области"</t>
  </si>
  <si>
    <t xml:space="preserve">Видеонаблюдение : оснащение пунктов проведения ЕГЭ. </t>
  </si>
  <si>
    <r>
      <t>1.Е1 "Федеральный проект  "Современная школа" национального проекта "Образование"</t>
    </r>
    <r>
      <rPr>
        <sz val="11"/>
        <rFont val="Times New Roman"/>
        <family val="1"/>
      </rPr>
      <t xml:space="preserve">   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обеспечение центров образования естественно-научной и технологической направленности в общеобраз-х организациях расположенных в сельской местности и малых годах"</t>
    </r>
  </si>
  <si>
    <r>
      <t>1.Е2 "Федеральныйс проект  "Успех каждого ребенка" национального проекта "Образование"</t>
    </r>
    <r>
      <rPr>
        <sz val="14"/>
        <rFont val="Times New Roman"/>
        <family val="1"/>
      </rPr>
      <t xml:space="preserve">             Создание в общеоб-разовательных организациях, расположенных в сельской местности и малых городах, условий для занятий физической культурой и спортом.</t>
    </r>
  </si>
  <si>
    <r>
      <t xml:space="preserve">1.Е3 "Федеральныйс проект  "Поддержка семей, имеющих детей" национального проекта "Образование" </t>
    </r>
    <r>
      <rPr>
        <sz val="12"/>
        <rFont val="Times New Roman"/>
        <family val="1"/>
      </rPr>
      <t>Государственная поддержка некоммерческих организаций в целях оказания психолого-педагогической, методической  и консультативной помощи гражданам, имеющих детей.</t>
    </r>
  </si>
  <si>
    <r>
      <t>1.Е4 "Федеральныйс проект  "Цифровая образовательная среда" " национального проекта "Образование"</t>
    </r>
    <r>
      <rPr>
        <sz val="12"/>
        <rFont val="Times New Roman"/>
        <family val="1"/>
      </rPr>
      <t xml:space="preserve"> Внедрение целевой модели цифровой образовательной среды в общеобразовательных организациях и профессиональных образовательных организациях"</t>
    </r>
  </si>
  <si>
    <r>
      <t>1.Е5 "Федеральныйс проект  "Учитель будущего" национального проекта "Образование"</t>
    </r>
    <r>
      <rPr>
        <sz val="13"/>
        <rFont val="Times New Roman"/>
        <family val="1"/>
      </rPr>
      <t xml:space="preserve">       Обеспечение возможности  для непрерывного и плано-мерного повышения квали-фикации  и прфессио-нального мастерства педагогических работникоф  в центрах оценки професси-онального мастерства и квалификации педагогов.</t>
    </r>
  </si>
  <si>
    <r>
      <t xml:space="preserve">Обеспечение выплат ежемесячного денежного вознаграждения за </t>
    </r>
    <r>
      <rPr>
        <sz val="18"/>
        <rFont val="Times New Roman"/>
        <family val="1"/>
      </rPr>
      <t>классное руководство</t>
    </r>
    <r>
      <rPr>
        <sz val="16"/>
        <rFont val="Times New Roman"/>
        <family val="1"/>
      </rPr>
      <t xml:space="preserve"> педагогическим работникам государственных образовательных организаций субъектов РФ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основныеобщеобразовательные программы</t>
    </r>
  </si>
  <si>
    <t>Задачи: 
1.Обеспечение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сооружений.
2. Обеспечение норм СанПиН для дошкольных, общеобразовательных учреждений и учреждений дополнительного образования
3.Выполнение основных общеобразовательных программ дошкольного образования в части реализации, содержанияи воспитания.</t>
  </si>
  <si>
    <t>2.3.6.</t>
  </si>
  <si>
    <t>Испытание пожарных лестниц</t>
  </si>
  <si>
    <t>2017-2025г.г.</t>
  </si>
  <si>
    <t>Компенсация расходов на оплату жилых помещений и отопления учителям</t>
  </si>
  <si>
    <t>Текущий ремонт основания пола</t>
  </si>
  <si>
    <t>замена распределительных коллекторов системы теплого пола</t>
  </si>
  <si>
    <t>замена трубопровода холодной воды под столовой</t>
  </si>
  <si>
    <t>ремонт основного теплового узла,замена чугунных вентилей, замена задвижек</t>
  </si>
  <si>
    <t>Обследование капитального ремонта здания</t>
  </si>
  <si>
    <t>ремонт котлов,замена детаоей и узлов</t>
  </si>
  <si>
    <t>замена насоса циркулярного</t>
  </si>
  <si>
    <t>текущий ремонт трубопроводов ГВС</t>
  </si>
  <si>
    <t>замена покрытия пола из линолиумоа</t>
  </si>
  <si>
    <t>текущий ремонт трубопроводов  хол.воды</t>
  </si>
  <si>
    <t>установка узлов смешивания  отопление теплых полов</t>
  </si>
  <si>
    <t>ремонт установки для очистки воды</t>
  </si>
  <si>
    <t>Перенос электроснабжения пищеблока</t>
  </si>
  <si>
    <t>разработка проектно сметной документации на ремонтные работы системы энергосбережения пищеблока</t>
  </si>
  <si>
    <t>Мероприяти по подготовке к началу учебного года муниципальных  образовательных учреждений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</si>
</sst>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_-* #,##0.00_р_._-;\-* #,##0.00_р_._-;_-* \-??_р_._-;_-@_-"/>
    <numFmt numFmtId="166" formatCode="0.0000"/>
    <numFmt numFmtId="167" formatCode="0.000000"/>
    <numFmt numFmtId="168" formatCode="#,##0.00000\ _р_."/>
    <numFmt numFmtId="169" formatCode="#,##0.000000\ _р_."/>
    <numFmt numFmtId="170" formatCode="#,##0.0000"/>
    <numFmt numFmtId="171" formatCode="_-* #,##0.00000_р_._-;\-* #,##0.00000_р_._-;_-* \-??_р_._-;_-@_-"/>
    <numFmt numFmtId="172" formatCode="0.000"/>
    <numFmt numFmtId="173" formatCode="0.0"/>
    <numFmt numFmtId="174" formatCode="_-* #,##0.00000\ _₽_-;\-* #,##0.00000\ _₽_-;_-* &quot;-&quot;?????\ _₽_-;_-@_-"/>
    <numFmt numFmtId="175" formatCode="[$-FC19]d\ mmmm\ yyyy\ &quot;г.&quot;"/>
    <numFmt numFmtId="176" formatCode="_-* #,##0.000_р_._-;\-* #,##0.000_р_._-;_-* \-??_р_._-;_-@_-"/>
    <numFmt numFmtId="177" formatCode="_-* #,##0.0000_р_._-;\-* #,##0.0000_р_._-;_-* \-??_р_._-;_-@_-"/>
    <numFmt numFmtId="178" formatCode="_-* #,##0.000000_р_._-;\-* #,##0.000000_р_._-;_-* \-??_р_._-;_-@_-"/>
    <numFmt numFmtId="179" formatCode="_-* #,##0.0000000_р_._-;\-* #,##0.0000000_р_._-;_-* \-??_р_._-;_-@_-"/>
    <numFmt numFmtId="180" formatCode="_-* #,##0.00000000_р_._-;\-* #,##0.00000000_р_._-;_-* \-??_р_._-;_-@_-"/>
    <numFmt numFmtId="181" formatCode="_-* #,##0.00\ _₽_-;\-* #,##0.00\ _₽_-;_-* \-??\ _₽_-;_-@_-"/>
    <numFmt numFmtId="182" formatCode="#,##0.00000_ ;\-#,##0.00000\ "/>
    <numFmt numFmtId="183" formatCode="_-* #,##0.000000\ _₽_-;\-* #,##0.000000\ _₽_-;_-* &quot;-&quot;??????\ _₽_-;_-@_-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9"/>
      <color indexed="8"/>
      <name val="Tahoma"/>
      <family val="2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4" fillId="0" borderId="0">
      <alignment/>
      <protection/>
    </xf>
    <xf numFmtId="1" fontId="2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87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166" fontId="7" fillId="0" borderId="1" xfId="6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top" wrapText="1"/>
    </xf>
    <xf numFmtId="166" fontId="4" fillId="0" borderId="23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4" fillId="0" borderId="2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164" fontId="7" fillId="0" borderId="1" xfId="6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64" fontId="5" fillId="0" borderId="1" xfId="60" applyNumberFormat="1" applyFont="1" applyFill="1" applyBorder="1" applyAlignment="1" applyProtection="1">
      <alignment horizontal="center" vertical="center" wrapText="1"/>
      <protection/>
    </xf>
    <xf numFmtId="164" fontId="5" fillId="0" borderId="22" xfId="60" applyNumberFormat="1" applyFont="1" applyFill="1" applyBorder="1" applyAlignment="1" applyProtection="1">
      <alignment horizontal="center" vertical="center" wrapText="1"/>
      <protection/>
    </xf>
    <xf numFmtId="164" fontId="7" fillId="0" borderId="22" xfId="6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164" fontId="7" fillId="0" borderId="18" xfId="60" applyNumberFormat="1" applyFont="1" applyFill="1" applyBorder="1" applyAlignment="1" applyProtection="1">
      <alignment horizontal="center" vertical="center" wrapText="1"/>
      <protection/>
    </xf>
    <xf numFmtId="164" fontId="7" fillId="0" borderId="27" xfId="6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164" fontId="5" fillId="0" borderId="19" xfId="60" applyNumberFormat="1" applyFont="1" applyFill="1" applyBorder="1" applyAlignment="1" applyProtection="1">
      <alignment horizontal="center" vertical="center" wrapText="1"/>
      <protection/>
    </xf>
    <xf numFmtId="164" fontId="7" fillId="0" borderId="19" xfId="6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/>
    </xf>
    <xf numFmtId="0" fontId="6" fillId="0" borderId="29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left" vertical="top"/>
    </xf>
    <xf numFmtId="0" fontId="6" fillId="0" borderId="3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22" xfId="0" applyNumberFormat="1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172" fontId="18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11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4" fillId="0" borderId="41" xfId="0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left" wrapText="1"/>
    </xf>
    <xf numFmtId="0" fontId="5" fillId="0" borderId="41" xfId="0" applyNumberFormat="1" applyFont="1" applyFill="1" applyBorder="1" applyAlignment="1">
      <alignment horizontal="left" vertical="top" wrapText="1"/>
    </xf>
    <xf numFmtId="49" fontId="8" fillId="0" borderId="41" xfId="0" applyNumberFormat="1" applyFont="1" applyFill="1" applyBorder="1" applyAlignment="1">
      <alignment horizontal="left"/>
    </xf>
    <xf numFmtId="0" fontId="5" fillId="0" borderId="42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7" fillId="0" borderId="43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164" fontId="7" fillId="0" borderId="19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167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top" wrapText="1"/>
    </xf>
    <xf numFmtId="167" fontId="7" fillId="0" borderId="1" xfId="0" applyNumberFormat="1" applyFont="1" applyFill="1" applyBorder="1" applyAlignment="1">
      <alignment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vertical="center" wrapText="1"/>
    </xf>
    <xf numFmtId="164" fontId="7" fillId="0" borderId="22" xfId="0" applyNumberFormat="1" applyFont="1" applyFill="1" applyBorder="1" applyAlignment="1">
      <alignment vertical="center" wrapText="1"/>
    </xf>
    <xf numFmtId="164" fontId="5" fillId="0" borderId="1" xfId="60" applyNumberFormat="1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>
      <alignment horizontal="justify" vertical="center" wrapText="1"/>
    </xf>
    <xf numFmtId="164" fontId="7" fillId="0" borderId="44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Fill="1" applyBorder="1" applyAlignment="1">
      <alignment horizontal="center" vertical="top" wrapText="1"/>
    </xf>
    <xf numFmtId="164" fontId="5" fillId="0" borderId="19" xfId="0" applyNumberFormat="1" applyFont="1" applyFill="1" applyBorder="1" applyAlignment="1">
      <alignment horizontal="center" vertical="top" wrapText="1"/>
    </xf>
    <xf numFmtId="164" fontId="5" fillId="0" borderId="20" xfId="0" applyNumberFormat="1" applyFont="1" applyFill="1" applyBorder="1" applyAlignment="1">
      <alignment horizontal="center" vertical="top" wrapText="1"/>
    </xf>
    <xf numFmtId="164" fontId="5" fillId="0" borderId="22" xfId="0" applyNumberFormat="1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center" wrapText="1"/>
    </xf>
    <xf numFmtId="164" fontId="7" fillId="0" borderId="39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0" borderId="45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164" fontId="5" fillId="0" borderId="4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top"/>
    </xf>
    <xf numFmtId="0" fontId="5" fillId="0" borderId="47" xfId="0" applyFont="1" applyFill="1" applyBorder="1" applyAlignment="1">
      <alignment horizontal="center" vertical="top"/>
    </xf>
    <xf numFmtId="0" fontId="7" fillId="0" borderId="48" xfId="0" applyFont="1" applyFill="1" applyBorder="1" applyAlignment="1">
      <alignment horizontal="center" vertical="top" wrapText="1"/>
    </xf>
    <xf numFmtId="165" fontId="5" fillId="0" borderId="43" xfId="60" applyFont="1" applyFill="1" applyBorder="1" applyAlignment="1" applyProtection="1">
      <alignment wrapText="1"/>
      <protection/>
    </xf>
    <xf numFmtId="0" fontId="7" fillId="0" borderId="13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top"/>
    </xf>
    <xf numFmtId="0" fontId="7" fillId="0" borderId="46" xfId="0" applyFont="1" applyFill="1" applyBorder="1" applyAlignment="1">
      <alignment horizontal="center" vertical="center" wrapText="1"/>
    </xf>
    <xf numFmtId="164" fontId="5" fillId="0" borderId="50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top" wrapText="1"/>
    </xf>
    <xf numFmtId="166" fontId="4" fillId="0" borderId="5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164" fontId="5" fillId="0" borderId="43" xfId="6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center" wrapText="1"/>
    </xf>
    <xf numFmtId="164" fontId="5" fillId="0" borderId="1" xfId="60" applyNumberFormat="1" applyFont="1" applyFill="1" applyBorder="1" applyAlignment="1" applyProtection="1">
      <alignment horizontal="center" vertical="top" wrapText="1"/>
      <protection/>
    </xf>
    <xf numFmtId="164" fontId="7" fillId="0" borderId="1" xfId="60" applyNumberFormat="1" applyFont="1" applyFill="1" applyBorder="1" applyAlignment="1" applyProtection="1">
      <alignment horizontal="center" vertical="top" wrapText="1"/>
      <protection/>
    </xf>
    <xf numFmtId="0" fontId="7" fillId="0" borderId="22" xfId="0" applyFont="1" applyFill="1" applyBorder="1" applyAlignment="1">
      <alignment horizontal="center" vertical="top" wrapText="1"/>
    </xf>
    <xf numFmtId="164" fontId="5" fillId="0" borderId="22" xfId="60" applyNumberFormat="1" applyFont="1" applyFill="1" applyBorder="1" applyAlignment="1" applyProtection="1">
      <alignment horizontal="center" vertical="top" wrapText="1"/>
      <protection/>
    </xf>
    <xf numFmtId="164" fontId="7" fillId="0" borderId="22" xfId="60" applyNumberFormat="1" applyFont="1" applyFill="1" applyBorder="1" applyAlignment="1" applyProtection="1">
      <alignment horizontal="center" vertical="top" wrapText="1"/>
      <protection/>
    </xf>
    <xf numFmtId="0" fontId="4" fillId="0" borderId="23" xfId="0" applyFont="1" applyFill="1" applyBorder="1" applyAlignment="1">
      <alignment vertical="center" wrapText="1"/>
    </xf>
    <xf numFmtId="164" fontId="7" fillId="0" borderId="18" xfId="60" applyNumberFormat="1" applyFont="1" applyFill="1" applyBorder="1" applyAlignment="1" applyProtection="1">
      <alignment horizontal="center" vertical="top" wrapText="1"/>
      <protection/>
    </xf>
    <xf numFmtId="164" fontId="7" fillId="0" borderId="27" xfId="60" applyNumberFormat="1" applyFont="1" applyFill="1" applyBorder="1" applyAlignment="1" applyProtection="1">
      <alignment horizontal="center" vertical="top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top" wrapText="1"/>
    </xf>
    <xf numFmtId="164" fontId="5" fillId="0" borderId="19" xfId="60" applyNumberFormat="1" applyFont="1" applyFill="1" applyBorder="1" applyAlignment="1" applyProtection="1">
      <alignment horizontal="center" wrapText="1"/>
      <protection/>
    </xf>
    <xf numFmtId="164" fontId="5" fillId="0" borderId="19" xfId="60" applyNumberFormat="1" applyFont="1" applyFill="1" applyBorder="1" applyAlignment="1" applyProtection="1">
      <alignment horizontal="center" vertical="top" wrapText="1"/>
      <protection/>
    </xf>
    <xf numFmtId="164" fontId="7" fillId="0" borderId="19" xfId="60" applyNumberFormat="1" applyFont="1" applyFill="1" applyBorder="1" applyAlignment="1" applyProtection="1">
      <alignment horizontal="center" vertical="top" wrapText="1"/>
      <protection/>
    </xf>
    <xf numFmtId="164" fontId="5" fillId="0" borderId="1" xfId="60" applyNumberFormat="1" applyFont="1" applyFill="1" applyBorder="1" applyAlignment="1" applyProtection="1">
      <alignment horizontal="center" wrapText="1"/>
      <protection/>
    </xf>
    <xf numFmtId="0" fontId="5" fillId="0" borderId="22" xfId="0" applyFont="1" applyFill="1" applyBorder="1" applyAlignment="1">
      <alignment vertical="center" wrapText="1"/>
    </xf>
    <xf numFmtId="164" fontId="5" fillId="0" borderId="22" xfId="60" applyNumberFormat="1" applyFont="1" applyFill="1" applyBorder="1" applyAlignment="1" applyProtection="1">
      <alignment horizontal="center" wrapText="1"/>
      <protection/>
    </xf>
    <xf numFmtId="0" fontId="5" fillId="0" borderId="22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164" fontId="5" fillId="0" borderId="13" xfId="60" applyNumberFormat="1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>
      <alignment horizontal="left" vertical="center" wrapText="1"/>
    </xf>
    <xf numFmtId="164" fontId="5" fillId="0" borderId="18" xfId="60" applyNumberFormat="1" applyFont="1" applyFill="1" applyBorder="1" applyAlignment="1" applyProtection="1">
      <alignment horizontal="center" vertical="center" wrapText="1"/>
      <protection/>
    </xf>
    <xf numFmtId="164" fontId="5" fillId="0" borderId="55" xfId="60" applyNumberFormat="1" applyFont="1" applyFill="1" applyBorder="1" applyAlignment="1" applyProtection="1">
      <alignment horizontal="center" vertical="center" wrapText="1"/>
      <protection/>
    </xf>
    <xf numFmtId="164" fontId="5" fillId="0" borderId="39" xfId="6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>
      <alignment horizontal="justify" vertical="center" wrapText="1"/>
    </xf>
    <xf numFmtId="164" fontId="5" fillId="0" borderId="26" xfId="6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164" fontId="7" fillId="0" borderId="44" xfId="60" applyNumberFormat="1" applyFont="1" applyFill="1" applyBorder="1" applyAlignment="1" applyProtection="1">
      <alignment horizontal="center" vertical="top" wrapText="1"/>
      <protection/>
    </xf>
    <xf numFmtId="164" fontId="7" fillId="0" borderId="56" xfId="60" applyNumberFormat="1" applyFont="1" applyFill="1" applyBorder="1" applyAlignment="1" applyProtection="1">
      <alignment horizontal="center" vertical="top" wrapText="1"/>
      <protection/>
    </xf>
    <xf numFmtId="0" fontId="11" fillId="0" borderId="2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/>
    </xf>
    <xf numFmtId="165" fontId="5" fillId="0" borderId="1" xfId="60" applyFont="1" applyFill="1" applyBorder="1" applyAlignment="1" applyProtection="1">
      <alignment vertical="center"/>
      <protection/>
    </xf>
    <xf numFmtId="171" fontId="5" fillId="0" borderId="1" xfId="6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/>
    </xf>
    <xf numFmtId="165" fontId="5" fillId="0" borderId="22" xfId="60" applyFont="1" applyFill="1" applyBorder="1" applyAlignment="1" applyProtection="1">
      <alignment vertical="center"/>
      <protection/>
    </xf>
    <xf numFmtId="171" fontId="5" fillId="0" borderId="22" xfId="60" applyNumberFormat="1" applyFont="1" applyFill="1" applyBorder="1" applyAlignment="1" applyProtection="1">
      <alignment horizontal="center" vertical="center"/>
      <protection/>
    </xf>
    <xf numFmtId="2" fontId="7" fillId="0" borderId="22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top" wrapText="1"/>
    </xf>
    <xf numFmtId="0" fontId="8" fillId="0" borderId="58" xfId="0" applyFont="1" applyFill="1" applyBorder="1" applyAlignment="1">
      <alignment horizontal="center" vertical="top" wrapText="1"/>
    </xf>
    <xf numFmtId="0" fontId="8" fillId="0" borderId="59" xfId="0" applyFont="1" applyFill="1" applyBorder="1" applyAlignment="1">
      <alignment horizontal="center" vertical="top" wrapText="1"/>
    </xf>
    <xf numFmtId="0" fontId="7" fillId="0" borderId="36" xfId="0" applyNumberFormat="1" applyFont="1" applyFill="1" applyBorder="1" applyAlignment="1">
      <alignment horizontal="center" vertical="top"/>
    </xf>
    <xf numFmtId="0" fontId="8" fillId="0" borderId="60" xfId="0" applyFont="1" applyFill="1" applyBorder="1" applyAlignment="1">
      <alignment horizontal="center" vertical="top" wrapText="1"/>
    </xf>
    <xf numFmtId="16" fontId="8" fillId="0" borderId="6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top"/>
    </xf>
    <xf numFmtId="16" fontId="8" fillId="0" borderId="1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164" fontId="7" fillId="0" borderId="13" xfId="60" applyNumberFormat="1" applyFont="1" applyFill="1" applyBorder="1" applyAlignment="1" applyProtection="1">
      <alignment horizontal="center" vertical="center" wrapText="1"/>
      <protection/>
    </xf>
    <xf numFmtId="164" fontId="5" fillId="0" borderId="13" xfId="60" applyNumberFormat="1" applyFont="1" applyFill="1" applyBorder="1" applyAlignment="1" applyProtection="1">
      <alignment horizontal="center" vertical="top" wrapText="1"/>
      <protection/>
    </xf>
    <xf numFmtId="164" fontId="7" fillId="0" borderId="13" xfId="60" applyNumberFormat="1" applyFont="1" applyFill="1" applyBorder="1" applyAlignment="1" applyProtection="1">
      <alignment horizontal="center" vertical="top" wrapText="1"/>
      <protection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164" fontId="18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16" fontId="5" fillId="0" borderId="1" xfId="0" applyNumberFormat="1" applyFont="1" applyFill="1" applyBorder="1" applyAlignment="1">
      <alignment vertical="center" wrapText="1"/>
    </xf>
    <xf numFmtId="16" fontId="5" fillId="0" borderId="25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vertical="center"/>
    </xf>
    <xf numFmtId="16" fontId="5" fillId="0" borderId="14" xfId="0" applyNumberFormat="1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16" fontId="4" fillId="0" borderId="24" xfId="0" applyNumberFormat="1" applyFont="1" applyFill="1" applyBorder="1" applyAlignment="1">
      <alignment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16" fontId="4" fillId="0" borderId="37" xfId="0" applyNumberFormat="1" applyFont="1" applyFill="1" applyBorder="1" applyAlignment="1">
      <alignment vertical="top" wrapText="1"/>
    </xf>
    <xf numFmtId="164" fontId="5" fillId="0" borderId="14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164" fontId="5" fillId="0" borderId="43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164" fontId="7" fillId="0" borderId="14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left" vertical="center" wrapText="1"/>
    </xf>
    <xf numFmtId="164" fontId="5" fillId="0" borderId="63" xfId="60" applyNumberFormat="1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>
      <alignment horizontal="left" vertical="top" wrapText="1"/>
    </xf>
    <xf numFmtId="0" fontId="4" fillId="0" borderId="63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/>
    </xf>
    <xf numFmtId="0" fontId="4" fillId="0" borderId="63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/>
    </xf>
    <xf numFmtId="164" fontId="5" fillId="0" borderId="53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4" fontId="5" fillId="0" borderId="37" xfId="0" applyNumberFormat="1" applyFont="1" applyFill="1" applyBorder="1" applyAlignment="1">
      <alignment horizontal="center" vertical="center" wrapText="1"/>
    </xf>
    <xf numFmtId="166" fontId="7" fillId="0" borderId="23" xfId="60" applyNumberFormat="1" applyFont="1" applyFill="1" applyBorder="1" applyAlignment="1" applyProtection="1">
      <alignment horizontal="center" vertical="center" wrapText="1"/>
      <protection/>
    </xf>
    <xf numFmtId="164" fontId="5" fillId="0" borderId="23" xfId="0" applyNumberFormat="1" applyFont="1" applyFill="1" applyBorder="1" applyAlignment="1">
      <alignment horizontal="center" vertical="top" wrapText="1"/>
    </xf>
    <xf numFmtId="164" fontId="5" fillId="0" borderId="23" xfId="0" applyNumberFormat="1" applyFont="1" applyFill="1" applyBorder="1" applyAlignment="1">
      <alignment vertical="top" wrapText="1"/>
    </xf>
    <xf numFmtId="164" fontId="5" fillId="0" borderId="23" xfId="0" applyNumberFormat="1" applyFont="1" applyFill="1" applyBorder="1" applyAlignment="1">
      <alignment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4" xfId="0" applyNumberFormat="1" applyFont="1" applyFill="1" applyBorder="1" applyAlignment="1">
      <alignment horizontal="center" vertical="top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top" wrapText="1"/>
    </xf>
    <xf numFmtId="164" fontId="8" fillId="0" borderId="64" xfId="0" applyNumberFormat="1" applyFont="1" applyFill="1" applyBorder="1" applyAlignment="1">
      <alignment horizontal="center" vertical="top" wrapText="1"/>
    </xf>
    <xf numFmtId="0" fontId="10" fillId="0" borderId="6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left" vertical="top"/>
    </xf>
    <xf numFmtId="0" fontId="8" fillId="0" borderId="66" xfId="0" applyFont="1" applyFill="1" applyBorder="1" applyAlignment="1">
      <alignment horizontal="center" vertical="top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top" wrapText="1"/>
    </xf>
    <xf numFmtId="0" fontId="5" fillId="0" borderId="69" xfId="0" applyFont="1" applyFill="1" applyBorder="1" applyAlignment="1">
      <alignment/>
    </xf>
    <xf numFmtId="49" fontId="8" fillId="0" borderId="69" xfId="0" applyNumberFormat="1" applyFont="1" applyFill="1" applyBorder="1" applyAlignment="1">
      <alignment horizontal="left"/>
    </xf>
    <xf numFmtId="0" fontId="7" fillId="0" borderId="69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top" wrapText="1"/>
    </xf>
    <xf numFmtId="0" fontId="11" fillId="0" borderId="69" xfId="0" applyFont="1" applyFill="1" applyBorder="1" applyAlignment="1">
      <alignment vertical="top" wrapText="1"/>
    </xf>
    <xf numFmtId="164" fontId="12" fillId="0" borderId="69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2" fontId="11" fillId="0" borderId="53" xfId="60" applyNumberFormat="1" applyFont="1" applyFill="1" applyBorder="1" applyAlignment="1" applyProtection="1">
      <alignment vertical="center" wrapText="1"/>
      <protection/>
    </xf>
    <xf numFmtId="0" fontId="4" fillId="0" borderId="3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top" wrapText="1"/>
    </xf>
    <xf numFmtId="0" fontId="4" fillId="0" borderId="64" xfId="0" applyFont="1" applyFill="1" applyBorder="1" applyAlignment="1">
      <alignment horizontal="center" vertical="top" wrapText="1"/>
    </xf>
    <xf numFmtId="0" fontId="8" fillId="0" borderId="64" xfId="0" applyFont="1" applyFill="1" applyBorder="1" applyAlignment="1">
      <alignment horizontal="left" vertical="top" wrapText="1"/>
    </xf>
    <xf numFmtId="166" fontId="4" fillId="0" borderId="64" xfId="0" applyNumberFormat="1" applyFont="1" applyFill="1" applyBorder="1" applyAlignment="1">
      <alignment horizontal="center" vertical="top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top" wrapText="1"/>
    </xf>
    <xf numFmtId="164" fontId="8" fillId="0" borderId="63" xfId="0" applyNumberFormat="1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horizontal="center" vertical="top" wrapText="1"/>
    </xf>
    <xf numFmtId="0" fontId="8" fillId="0" borderId="63" xfId="0" applyFont="1" applyFill="1" applyBorder="1" applyAlignment="1">
      <alignment horizontal="left" vertical="top" wrapText="1"/>
    </xf>
    <xf numFmtId="2" fontId="11" fillId="0" borderId="23" xfId="6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>
      <alignment horizontal="center" vertical="top" wrapText="1"/>
    </xf>
    <xf numFmtId="2" fontId="8" fillId="0" borderId="33" xfId="60" applyNumberFormat="1" applyFont="1" applyFill="1" applyBorder="1" applyAlignment="1" applyProtection="1">
      <alignment horizontal="center" vertical="center" wrapText="1"/>
      <protection/>
    </xf>
    <xf numFmtId="2" fontId="8" fillId="0" borderId="23" xfId="60" applyNumberFormat="1" applyFont="1" applyFill="1" applyBorder="1" applyAlignment="1" applyProtection="1">
      <alignment horizontal="center" vertical="center" wrapText="1"/>
      <protection/>
    </xf>
    <xf numFmtId="2" fontId="4" fillId="0" borderId="70" xfId="60" applyNumberFormat="1" applyFont="1" applyFill="1" applyBorder="1" applyAlignment="1" applyProtection="1">
      <alignment horizontal="center" vertical="center" wrapText="1"/>
      <protection/>
    </xf>
    <xf numFmtId="2" fontId="8" fillId="0" borderId="70" xfId="60" applyNumberFormat="1" applyFont="1" applyFill="1" applyBorder="1" applyAlignment="1" applyProtection="1">
      <alignment horizontal="center" vertical="center" wrapText="1"/>
      <protection/>
    </xf>
    <xf numFmtId="2" fontId="4" fillId="0" borderId="23" xfId="60" applyNumberFormat="1" applyFont="1" applyFill="1" applyBorder="1" applyAlignment="1" applyProtection="1">
      <alignment horizontal="center" vertical="center" wrapText="1"/>
      <protection/>
    </xf>
    <xf numFmtId="2" fontId="4" fillId="0" borderId="55" xfId="60" applyNumberFormat="1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>
      <alignment horizontal="center" vertical="center" wrapText="1"/>
    </xf>
    <xf numFmtId="2" fontId="8" fillId="0" borderId="30" xfId="6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>
      <alignment vertical="center" wrapText="1"/>
    </xf>
    <xf numFmtId="2" fontId="8" fillId="0" borderId="55" xfId="6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>
      <alignment horizontal="center" vertical="center" wrapText="1"/>
    </xf>
    <xf numFmtId="2" fontId="4" fillId="0" borderId="53" xfId="6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8" fillId="0" borderId="64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170" fontId="4" fillId="0" borderId="64" xfId="0" applyNumberFormat="1" applyFont="1" applyFill="1" applyBorder="1" applyAlignment="1">
      <alignment vertical="top" wrapText="1"/>
    </xf>
    <xf numFmtId="0" fontId="4" fillId="0" borderId="64" xfId="0" applyFont="1" applyFill="1" applyBorder="1" applyAlignment="1">
      <alignment vertical="top" wrapText="1"/>
    </xf>
    <xf numFmtId="0" fontId="15" fillId="0" borderId="64" xfId="0" applyFont="1" applyFill="1" applyBorder="1" applyAlignment="1">
      <alignment/>
    </xf>
    <xf numFmtId="0" fontId="8" fillId="0" borderId="63" xfId="0" applyFont="1" applyFill="1" applyBorder="1" applyAlignment="1">
      <alignment horizontal="left" vertical="center" wrapText="1"/>
    </xf>
    <xf numFmtId="170" fontId="4" fillId="0" borderId="63" xfId="0" applyNumberFormat="1" applyFont="1" applyFill="1" applyBorder="1" applyAlignment="1">
      <alignment vertical="top" wrapText="1"/>
    </xf>
    <xf numFmtId="0" fontId="4" fillId="0" borderId="63" xfId="0" applyFont="1" applyFill="1" applyBorder="1" applyAlignment="1">
      <alignment vertical="top" wrapText="1"/>
    </xf>
    <xf numFmtId="0" fontId="15" fillId="0" borderId="63" xfId="0" applyFont="1" applyFill="1" applyBorder="1" applyAlignment="1">
      <alignment/>
    </xf>
    <xf numFmtId="0" fontId="7" fillId="0" borderId="64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left" vertical="center"/>
    </xf>
    <xf numFmtId="164" fontId="4" fillId="0" borderId="64" xfId="0" applyNumberFormat="1" applyFont="1" applyFill="1" applyBorder="1" applyAlignment="1">
      <alignment horizontal="center" vertical="top" wrapText="1"/>
    </xf>
    <xf numFmtId="0" fontId="4" fillId="0" borderId="66" xfId="0" applyFont="1" applyFill="1" applyBorder="1" applyAlignment="1">
      <alignment horizontal="left" vertical="top"/>
    </xf>
    <xf numFmtId="0" fontId="5" fillId="0" borderId="63" xfId="0" applyFont="1" applyFill="1" applyBorder="1" applyAlignment="1">
      <alignment horizontal="left" vertical="center"/>
    </xf>
    <xf numFmtId="164" fontId="7" fillId="0" borderId="43" xfId="0" applyNumberFormat="1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center" vertical="top" wrapText="1"/>
    </xf>
    <xf numFmtId="16" fontId="5" fillId="0" borderId="71" xfId="0" applyNumberFormat="1" applyFont="1" applyFill="1" applyBorder="1" applyAlignment="1">
      <alignment horizontal="center" vertical="top" wrapText="1"/>
    </xf>
    <xf numFmtId="16" fontId="5" fillId="0" borderId="3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167" fontId="7" fillId="0" borderId="14" xfId="0" applyNumberFormat="1" applyFont="1" applyFill="1" applyBorder="1" applyAlignment="1">
      <alignment horizontal="center" vertical="top" wrapText="1"/>
    </xf>
    <xf numFmtId="167" fontId="3" fillId="0" borderId="0" xfId="0" applyNumberFormat="1" applyFont="1" applyFill="1" applyAlignment="1">
      <alignment/>
    </xf>
    <xf numFmtId="0" fontId="5" fillId="0" borderId="31" xfId="0" applyNumberFormat="1" applyFont="1" applyFill="1" applyBorder="1" applyAlignment="1">
      <alignment horizontal="center" vertical="top" wrapText="1"/>
    </xf>
    <xf numFmtId="16" fontId="5" fillId="0" borderId="72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16" fontId="5" fillId="0" borderId="1" xfId="0" applyNumberFormat="1" applyFont="1" applyFill="1" applyBorder="1" applyAlignment="1">
      <alignment horizontal="center" vertical="top" wrapText="1"/>
    </xf>
    <xf numFmtId="16" fontId="5" fillId="0" borderId="20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0" fillId="0" borderId="64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73" xfId="0" applyFont="1" applyFill="1" applyBorder="1" applyAlignment="1">
      <alignment horizontal="center" vertical="center" wrapText="1"/>
    </xf>
    <xf numFmtId="164" fontId="7" fillId="0" borderId="73" xfId="0" applyNumberFormat="1" applyFont="1" applyFill="1" applyBorder="1" applyAlignment="1">
      <alignment horizontal="center" vertical="center" wrapText="1"/>
    </xf>
    <xf numFmtId="164" fontId="7" fillId="0" borderId="74" xfId="0" applyNumberFormat="1" applyFont="1" applyFill="1" applyBorder="1" applyAlignment="1">
      <alignment horizontal="center" vertical="center" wrapText="1"/>
    </xf>
    <xf numFmtId="165" fontId="16" fillId="0" borderId="69" xfId="60" applyFont="1" applyFill="1" applyBorder="1" applyAlignment="1">
      <alignment horizontal="center" vertical="center" wrapText="1"/>
    </xf>
    <xf numFmtId="164" fontId="8" fillId="0" borderId="75" xfId="0" applyNumberFormat="1" applyFont="1" applyFill="1" applyBorder="1" applyAlignment="1">
      <alignment horizontal="center" vertical="top" wrapText="1"/>
    </xf>
    <xf numFmtId="0" fontId="3" fillId="0" borderId="76" xfId="0" applyFont="1" applyFill="1" applyBorder="1" applyAlignment="1">
      <alignment/>
    </xf>
    <xf numFmtId="0" fontId="7" fillId="0" borderId="63" xfId="0" applyFont="1" applyFill="1" applyBorder="1" applyAlignment="1">
      <alignment horizontal="center" vertical="center" wrapText="1"/>
    </xf>
    <xf numFmtId="49" fontId="5" fillId="0" borderId="63" xfId="0" applyNumberFormat="1" applyFont="1" applyFill="1" applyBorder="1" applyAlignment="1">
      <alignment horizontal="center" vertical="top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left" vertical="top" wrapText="1"/>
    </xf>
    <xf numFmtId="0" fontId="11" fillId="0" borderId="7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left" vertical="top" wrapText="1"/>
    </xf>
    <xf numFmtId="0" fontId="5" fillId="0" borderId="63" xfId="0" applyNumberFormat="1" applyFont="1" applyFill="1" applyBorder="1" applyAlignment="1">
      <alignment horizontal="center" vertical="top"/>
    </xf>
    <xf numFmtId="0" fontId="4" fillId="0" borderId="77" xfId="0" applyFont="1" applyFill="1" applyBorder="1" applyAlignment="1">
      <alignment horizontal="left" vertical="center" wrapText="1"/>
    </xf>
    <xf numFmtId="2" fontId="11" fillId="0" borderId="35" xfId="60" applyNumberFormat="1" applyFont="1" applyFill="1" applyBorder="1" applyAlignment="1" applyProtection="1">
      <alignment horizontal="center" vertical="center" wrapText="1"/>
      <protection/>
    </xf>
    <xf numFmtId="2" fontId="11" fillId="0" borderId="63" xfId="60" applyNumberFormat="1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top" wrapText="1"/>
    </xf>
    <xf numFmtId="0" fontId="4" fillId="0" borderId="81" xfId="0" applyFont="1" applyFill="1" applyBorder="1" applyAlignment="1">
      <alignment horizontal="center" vertical="top" wrapText="1"/>
    </xf>
    <xf numFmtId="0" fontId="4" fillId="0" borderId="82" xfId="0" applyFont="1" applyFill="1" applyBorder="1" applyAlignment="1">
      <alignment horizontal="center" vertical="top" wrapText="1"/>
    </xf>
    <xf numFmtId="0" fontId="5" fillId="0" borderId="63" xfId="0" applyFont="1" applyFill="1" applyBorder="1" applyAlignment="1">
      <alignment horizontal="center" vertical="top"/>
    </xf>
    <xf numFmtId="16" fontId="5" fillId="0" borderId="63" xfId="0" applyNumberFormat="1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horizontal="center" vertical="top" wrapText="1"/>
    </xf>
    <xf numFmtId="164" fontId="7" fillId="0" borderId="63" xfId="0" applyNumberFormat="1" applyFont="1" applyFill="1" applyBorder="1" applyAlignment="1">
      <alignment horizontal="center" vertical="top" wrapText="1"/>
    </xf>
    <xf numFmtId="164" fontId="5" fillId="0" borderId="63" xfId="0" applyNumberFormat="1" applyFont="1" applyFill="1" applyBorder="1" applyAlignment="1">
      <alignment horizontal="center" vertical="top" wrapText="1"/>
    </xf>
    <xf numFmtId="0" fontId="3" fillId="0" borderId="63" xfId="0" applyFont="1" applyFill="1" applyBorder="1" applyAlignment="1">
      <alignment/>
    </xf>
    <xf numFmtId="0" fontId="7" fillId="0" borderId="6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top" wrapText="1"/>
    </xf>
    <xf numFmtId="164" fontId="5" fillId="0" borderId="18" xfId="0" applyNumberFormat="1" applyFont="1" applyFill="1" applyBorder="1" applyAlignment="1">
      <alignment horizontal="center" vertical="top" wrapText="1"/>
    </xf>
    <xf numFmtId="164" fontId="5" fillId="0" borderId="55" xfId="0" applyNumberFormat="1" applyFont="1" applyFill="1" applyBorder="1" applyAlignment="1">
      <alignment horizontal="center" vertical="top" wrapText="1"/>
    </xf>
    <xf numFmtId="0" fontId="3" fillId="0" borderId="63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 vertical="top" wrapText="1"/>
    </xf>
    <xf numFmtId="164" fontId="8" fillId="0" borderId="63" xfId="0" applyNumberFormat="1" applyFont="1" applyFill="1" applyBorder="1" applyAlignment="1">
      <alignment horizontal="center" vertical="center" wrapText="1"/>
    </xf>
    <xf numFmtId="172" fontId="4" fillId="0" borderId="63" xfId="0" applyNumberFormat="1" applyFont="1" applyFill="1" applyBorder="1" applyAlignment="1">
      <alignment vertical="center"/>
    </xf>
    <xf numFmtId="164" fontId="4" fillId="0" borderId="63" xfId="0" applyNumberFormat="1" applyFont="1" applyFill="1" applyBorder="1" applyAlignment="1">
      <alignment horizontal="right" vertical="center"/>
    </xf>
    <xf numFmtId="166" fontId="8" fillId="0" borderId="63" xfId="0" applyNumberFormat="1" applyFont="1" applyFill="1" applyBorder="1" applyAlignment="1">
      <alignment vertical="center"/>
    </xf>
    <xf numFmtId="173" fontId="4" fillId="0" borderId="63" xfId="0" applyNumberFormat="1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172" fontId="8" fillId="0" borderId="63" xfId="0" applyNumberFormat="1" applyFont="1" applyFill="1" applyBorder="1" applyAlignment="1">
      <alignment horizontal="center" vertical="center"/>
    </xf>
    <xf numFmtId="166" fontId="4" fillId="0" borderId="63" xfId="0" applyNumberFormat="1" applyFont="1" applyFill="1" applyBorder="1" applyAlignment="1">
      <alignment vertical="center"/>
    </xf>
    <xf numFmtId="164" fontId="4" fillId="0" borderId="63" xfId="0" applyNumberFormat="1" applyFont="1" applyFill="1" applyBorder="1" applyAlignment="1">
      <alignment vertical="center"/>
    </xf>
    <xf numFmtId="166" fontId="8" fillId="0" borderId="63" xfId="0" applyNumberFormat="1" applyFont="1" applyFill="1" applyBorder="1" applyAlignment="1">
      <alignment horizontal="center" vertical="center"/>
    </xf>
    <xf numFmtId="172" fontId="8" fillId="0" borderId="63" xfId="0" applyNumberFormat="1" applyFont="1" applyFill="1" applyBorder="1" applyAlignment="1">
      <alignment vertical="center"/>
    </xf>
    <xf numFmtId="0" fontId="8" fillId="0" borderId="63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top"/>
    </xf>
    <xf numFmtId="16" fontId="5" fillId="0" borderId="63" xfId="0" applyNumberFormat="1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left" vertical="top" wrapText="1"/>
    </xf>
    <xf numFmtId="16" fontId="5" fillId="0" borderId="83" xfId="0" applyNumberFormat="1" applyFont="1" applyFill="1" applyBorder="1" applyAlignment="1">
      <alignment horizontal="center" vertical="top" wrapText="1"/>
    </xf>
    <xf numFmtId="16" fontId="5" fillId="0" borderId="84" xfId="0" applyNumberFormat="1" applyFont="1" applyFill="1" applyBorder="1" applyAlignment="1">
      <alignment horizontal="center" vertical="top" wrapText="1"/>
    </xf>
    <xf numFmtId="0" fontId="7" fillId="0" borderId="77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 vertical="top"/>
    </xf>
    <xf numFmtId="0" fontId="0" fillId="0" borderId="82" xfId="0" applyFont="1" applyFill="1" applyBorder="1" applyAlignment="1">
      <alignment horizontal="center" vertical="top"/>
    </xf>
    <xf numFmtId="164" fontId="8" fillId="0" borderId="82" xfId="0" applyNumberFormat="1" applyFont="1" applyFill="1" applyBorder="1" applyAlignment="1">
      <alignment horizontal="center" vertical="top" wrapText="1"/>
    </xf>
    <xf numFmtId="164" fontId="4" fillId="0" borderId="63" xfId="0" applyNumberFormat="1" applyFont="1" applyFill="1" applyBorder="1" applyAlignment="1">
      <alignment horizontal="left" vertical="top" wrapText="1"/>
    </xf>
    <xf numFmtId="164" fontId="7" fillId="0" borderId="49" xfId="0" applyNumberFormat="1" applyFont="1" applyFill="1" applyBorder="1" applyAlignment="1">
      <alignment horizontal="center" vertical="center" wrapText="1"/>
    </xf>
    <xf numFmtId="164" fontId="7" fillId="0" borderId="44" xfId="60" applyNumberFormat="1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vertical="center" wrapText="1"/>
    </xf>
    <xf numFmtId="164" fontId="7" fillId="0" borderId="55" xfId="0" applyNumberFormat="1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164" fontId="7" fillId="0" borderId="20" xfId="0" applyNumberFormat="1" applyFont="1" applyFill="1" applyBorder="1" applyAlignment="1">
      <alignment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0" fontId="11" fillId="0" borderId="67" xfId="0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vertical="top" wrapText="1"/>
    </xf>
    <xf numFmtId="164" fontId="7" fillId="0" borderId="22" xfId="0" applyNumberFormat="1" applyFont="1" applyFill="1" applyBorder="1" applyAlignment="1">
      <alignment vertical="top" wrapText="1"/>
    </xf>
    <xf numFmtId="164" fontId="7" fillId="0" borderId="26" xfId="0" applyNumberFormat="1" applyFont="1" applyFill="1" applyBorder="1" applyAlignment="1">
      <alignment horizontal="center" vertical="top" wrapText="1"/>
    </xf>
    <xf numFmtId="164" fontId="7" fillId="0" borderId="46" xfId="0" applyNumberFormat="1" applyFont="1" applyFill="1" applyBorder="1" applyAlignment="1">
      <alignment horizontal="center" vertical="top" wrapText="1"/>
    </xf>
    <xf numFmtId="164" fontId="7" fillId="0" borderId="44" xfId="0" applyNumberFormat="1" applyFont="1" applyFill="1" applyBorder="1" applyAlignment="1">
      <alignment horizontal="center" vertical="top" wrapText="1"/>
    </xf>
    <xf numFmtId="164" fontId="5" fillId="0" borderId="56" xfId="0" applyNumberFormat="1" applyFont="1" applyFill="1" applyBorder="1" applyAlignment="1">
      <alignment vertical="top" wrapText="1"/>
    </xf>
    <xf numFmtId="0" fontId="11" fillId="0" borderId="70" xfId="0" applyFont="1" applyFill="1" applyBorder="1" applyAlignment="1">
      <alignment horizontal="center" vertical="center" wrapText="1"/>
    </xf>
    <xf numFmtId="164" fontId="7" fillId="0" borderId="85" xfId="0" applyNumberFormat="1" applyFont="1" applyFill="1" applyBorder="1" applyAlignment="1">
      <alignment horizontal="center" vertical="top" wrapText="1"/>
    </xf>
    <xf numFmtId="164" fontId="7" fillId="0" borderId="35" xfId="0" applyNumberFormat="1" applyFont="1" applyFill="1" applyBorder="1" applyAlignment="1">
      <alignment vertical="top" wrapText="1"/>
    </xf>
    <xf numFmtId="0" fontId="11" fillId="0" borderId="71" xfId="0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vertical="top" wrapText="1"/>
    </xf>
    <xf numFmtId="164" fontId="7" fillId="0" borderId="24" xfId="0" applyNumberFormat="1" applyFont="1" applyFill="1" applyBorder="1" applyAlignment="1">
      <alignment vertical="top" wrapText="1"/>
    </xf>
    <xf numFmtId="164" fontId="7" fillId="0" borderId="18" xfId="0" applyNumberFormat="1" applyFont="1" applyFill="1" applyBorder="1" applyAlignment="1">
      <alignment vertical="top" wrapText="1"/>
    </xf>
    <xf numFmtId="0" fontId="11" fillId="0" borderId="24" xfId="0" applyFont="1" applyFill="1" applyBorder="1" applyAlignment="1">
      <alignment horizontal="center" vertical="center" wrapText="1"/>
    </xf>
    <xf numFmtId="164" fontId="7" fillId="0" borderId="63" xfId="0" applyNumberFormat="1" applyFont="1" applyFill="1" applyBorder="1" applyAlignment="1">
      <alignment vertical="top" wrapText="1"/>
    </xf>
    <xf numFmtId="164" fontId="5" fillId="0" borderId="44" xfId="0" applyNumberFormat="1" applyFont="1" applyFill="1" applyBorder="1" applyAlignment="1">
      <alignment horizontal="center" vertical="top" wrapText="1"/>
    </xf>
    <xf numFmtId="0" fontId="11" fillId="0" borderId="86" xfId="0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164" fontId="7" fillId="0" borderId="87" xfId="0" applyNumberFormat="1" applyFont="1" applyFill="1" applyBorder="1" applyAlignment="1">
      <alignment horizontal="center" vertical="top" wrapText="1"/>
    </xf>
    <xf numFmtId="0" fontId="7" fillId="0" borderId="22" xfId="0" applyNumberFormat="1" applyFont="1" applyFill="1" applyBorder="1" applyAlignment="1">
      <alignment horizontal="center" vertical="top" wrapText="1"/>
    </xf>
    <xf numFmtId="166" fontId="4" fillId="0" borderId="24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2" fontId="11" fillId="0" borderId="33" xfId="60" applyNumberFormat="1" applyFont="1" applyFill="1" applyBorder="1" applyAlignment="1" applyProtection="1">
      <alignment horizontal="center" vertical="center" wrapText="1"/>
      <protection/>
    </xf>
    <xf numFmtId="2" fontId="4" fillId="0" borderId="23" xfId="60" applyNumberFormat="1" applyFont="1" applyFill="1" applyBorder="1" applyAlignment="1" applyProtection="1">
      <alignment vertical="center" wrapText="1"/>
      <protection/>
    </xf>
    <xf numFmtId="2" fontId="4" fillId="0" borderId="33" xfId="60" applyNumberFormat="1" applyFont="1" applyFill="1" applyBorder="1" applyAlignment="1" applyProtection="1">
      <alignment vertical="center" wrapText="1"/>
      <protection/>
    </xf>
    <xf numFmtId="0" fontId="7" fillId="0" borderId="43" xfId="0" applyFont="1" applyFill="1" applyBorder="1" applyAlignment="1">
      <alignment horizontal="center" vertical="center" wrapText="1"/>
    </xf>
    <xf numFmtId="164" fontId="7" fillId="0" borderId="43" xfId="60" applyNumberFormat="1" applyFont="1" applyFill="1" applyBorder="1" applyAlignment="1" applyProtection="1">
      <alignment horizontal="center" vertical="center" wrapText="1"/>
      <protection/>
    </xf>
    <xf numFmtId="2" fontId="11" fillId="0" borderId="23" xfId="60" applyNumberFormat="1" applyFont="1" applyFill="1" applyBorder="1" applyAlignment="1" applyProtection="1">
      <alignment vertical="center" wrapText="1"/>
      <protection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25" xfId="0" applyFont="1" applyFill="1" applyBorder="1" applyAlignment="1">
      <alignment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1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2" fontId="11" fillId="0" borderId="70" xfId="60" applyNumberFormat="1" applyFont="1" applyFill="1" applyBorder="1" applyAlignment="1" applyProtection="1">
      <alignment vertical="center" wrapText="1"/>
      <protection/>
    </xf>
    <xf numFmtId="0" fontId="4" fillId="0" borderId="23" xfId="0" applyFont="1" applyFill="1" applyBorder="1" applyAlignment="1">
      <alignment vertical="top" wrapText="1"/>
    </xf>
    <xf numFmtId="0" fontId="11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top" wrapText="1"/>
    </xf>
    <xf numFmtId="0" fontId="4" fillId="0" borderId="9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164" fontId="7" fillId="0" borderId="63" xfId="0" applyNumberFormat="1" applyFont="1" applyFill="1" applyBorder="1" applyAlignment="1">
      <alignment horizontal="center" vertical="center"/>
    </xf>
    <xf numFmtId="2" fontId="7" fillId="0" borderId="63" xfId="0" applyNumberFormat="1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vertical="center" wrapText="1"/>
    </xf>
    <xf numFmtId="0" fontId="5" fillId="0" borderId="91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164" fontId="5" fillId="0" borderId="63" xfId="0" applyNumberFormat="1" applyFont="1" applyFill="1" applyBorder="1" applyAlignment="1">
      <alignment horizontal="center" vertical="center" wrapText="1"/>
    </xf>
    <xf numFmtId="171" fontId="5" fillId="0" borderId="63" xfId="60" applyNumberFormat="1" applyFont="1" applyFill="1" applyBorder="1" applyAlignment="1" applyProtection="1">
      <alignment horizontal="center" vertical="center"/>
      <protection/>
    </xf>
    <xf numFmtId="0" fontId="5" fillId="0" borderId="80" xfId="0" applyFont="1" applyFill="1" applyBorder="1" applyAlignment="1">
      <alignment horizontal="center" vertical="center" wrapText="1"/>
    </xf>
    <xf numFmtId="164" fontId="5" fillId="0" borderId="80" xfId="0" applyNumberFormat="1" applyFont="1" applyFill="1" applyBorder="1" applyAlignment="1">
      <alignment horizontal="center" vertical="center" wrapText="1"/>
    </xf>
    <xf numFmtId="164" fontId="5" fillId="0" borderId="80" xfId="60" applyNumberFormat="1" applyFont="1" applyFill="1" applyBorder="1" applyAlignment="1" applyProtection="1">
      <alignment horizontal="center" vertical="center" wrapText="1"/>
      <protection/>
    </xf>
    <xf numFmtId="171" fontId="5" fillId="0" borderId="80" xfId="60" applyNumberFormat="1" applyFont="1" applyFill="1" applyBorder="1" applyAlignment="1" applyProtection="1">
      <alignment horizontal="center" vertical="center"/>
      <protection/>
    </xf>
    <xf numFmtId="0" fontId="7" fillId="0" borderId="91" xfId="0" applyNumberFormat="1" applyFont="1" applyFill="1" applyBorder="1" applyAlignment="1">
      <alignment horizontal="center" vertical="top"/>
    </xf>
    <xf numFmtId="16" fontId="5" fillId="0" borderId="13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top" wrapText="1"/>
    </xf>
    <xf numFmtId="0" fontId="7" fillId="0" borderId="92" xfId="0" applyFont="1" applyFill="1" applyBorder="1" applyAlignment="1">
      <alignment horizontal="center" vertical="top"/>
    </xf>
    <xf numFmtId="0" fontId="7" fillId="0" borderId="93" xfId="0" applyFont="1" applyFill="1" applyBorder="1" applyAlignment="1">
      <alignment horizontal="center" vertical="top" wrapText="1"/>
    </xf>
    <xf numFmtId="164" fontId="7" fillId="0" borderId="94" xfId="0" applyNumberFormat="1" applyFont="1" applyFill="1" applyBorder="1" applyAlignment="1">
      <alignment horizontal="center" vertical="top" wrapText="1"/>
    </xf>
    <xf numFmtId="0" fontId="7" fillId="0" borderId="70" xfId="0" applyFont="1" applyFill="1" applyBorder="1" applyAlignment="1">
      <alignment horizontal="center" vertical="top"/>
    </xf>
    <xf numFmtId="0" fontId="7" fillId="0" borderId="95" xfId="0" applyFont="1" applyFill="1" applyBorder="1" applyAlignment="1">
      <alignment horizontal="center" vertical="top" wrapText="1"/>
    </xf>
    <xf numFmtId="164" fontId="7" fillId="0" borderId="96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164" fontId="7" fillId="0" borderId="16" xfId="0" applyNumberFormat="1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164" fontId="7" fillId="0" borderId="63" xfId="0" applyNumberFormat="1" applyFont="1" applyFill="1" applyBorder="1" applyAlignment="1">
      <alignment horizontal="center" vertical="center" wrapText="1"/>
    </xf>
    <xf numFmtId="16" fontId="4" fillId="0" borderId="22" xfId="0" applyNumberFormat="1" applyFont="1" applyFill="1" applyBorder="1" applyAlignment="1">
      <alignment horizontal="center" vertical="top" wrapText="1"/>
    </xf>
    <xf numFmtId="16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6" fillId="0" borderId="63" xfId="0" applyFont="1" applyFill="1" applyBorder="1" applyAlignment="1">
      <alignment horizontal="center" vertical="top"/>
    </xf>
    <xf numFmtId="0" fontId="6" fillId="0" borderId="80" xfId="0" applyFont="1" applyFill="1" applyBorder="1" applyAlignment="1">
      <alignment horizontal="center" vertical="top"/>
    </xf>
    <xf numFmtId="0" fontId="7" fillId="0" borderId="97" xfId="0" applyFont="1" applyFill="1" applyBorder="1" applyAlignment="1">
      <alignment horizontal="center" vertical="top" wrapText="1"/>
    </xf>
    <xf numFmtId="164" fontId="7" fillId="0" borderId="98" xfId="0" applyNumberFormat="1" applyFont="1" applyFill="1" applyBorder="1" applyAlignment="1">
      <alignment horizontal="center" vertical="top" wrapText="1"/>
    </xf>
    <xf numFmtId="164" fontId="7" fillId="0" borderId="99" xfId="0" applyNumberFormat="1" applyFont="1" applyFill="1" applyBorder="1" applyAlignment="1">
      <alignment horizontal="center" vertical="top" wrapText="1"/>
    </xf>
    <xf numFmtId="0" fontId="6" fillId="0" borderId="84" xfId="0" applyFont="1" applyFill="1" applyBorder="1" applyAlignment="1">
      <alignment horizontal="center" vertical="top"/>
    </xf>
    <xf numFmtId="164" fontId="7" fillId="0" borderId="23" xfId="0" applyNumberFormat="1" applyFont="1" applyFill="1" applyBorder="1" applyAlignment="1">
      <alignment horizontal="center" vertical="top" wrapText="1"/>
    </xf>
    <xf numFmtId="0" fontId="6" fillId="0" borderId="84" xfId="0" applyFont="1" applyFill="1" applyBorder="1" applyAlignment="1">
      <alignment vertical="top"/>
    </xf>
    <xf numFmtId="0" fontId="7" fillId="0" borderId="45" xfId="0" applyFont="1" applyFill="1" applyBorder="1" applyAlignment="1">
      <alignment horizontal="center" vertical="top" wrapText="1"/>
    </xf>
    <xf numFmtId="164" fontId="7" fillId="0" borderId="52" xfId="0" applyNumberFormat="1" applyFont="1" applyFill="1" applyBorder="1" applyAlignment="1">
      <alignment horizontal="center" vertical="top" wrapText="1"/>
    </xf>
    <xf numFmtId="0" fontId="6" fillId="0" borderId="100" xfId="0" applyFont="1" applyFill="1" applyBorder="1" applyAlignment="1">
      <alignment vertical="top"/>
    </xf>
    <xf numFmtId="0" fontId="7" fillId="0" borderId="42" xfId="0" applyFont="1" applyFill="1" applyBorder="1" applyAlignment="1">
      <alignment horizontal="center" vertical="top" wrapText="1"/>
    </xf>
    <xf numFmtId="0" fontId="6" fillId="0" borderId="77" xfId="0" applyFont="1" applyFill="1" applyBorder="1" applyAlignment="1">
      <alignment vertical="top"/>
    </xf>
    <xf numFmtId="0" fontId="7" fillId="0" borderId="101" xfId="0" applyFont="1" applyFill="1" applyBorder="1" applyAlignment="1">
      <alignment horizontal="center" vertical="top" wrapText="1"/>
    </xf>
    <xf numFmtId="164" fontId="7" fillId="0" borderId="102" xfId="0" applyNumberFormat="1" applyFont="1" applyFill="1" applyBorder="1" applyAlignment="1">
      <alignment horizontal="center" vertical="top" wrapText="1"/>
    </xf>
    <xf numFmtId="164" fontId="7" fillId="0" borderId="103" xfId="0" applyNumberFormat="1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center" wrapText="1"/>
    </xf>
    <xf numFmtId="164" fontId="5" fillId="0" borderId="23" xfId="60" applyNumberFormat="1" applyFont="1" applyFill="1" applyBorder="1" applyAlignment="1" applyProtection="1">
      <alignment horizontal="center" vertical="center" wrapText="1"/>
      <protection/>
    </xf>
    <xf numFmtId="164" fontId="5" fillId="0" borderId="14" xfId="60" applyNumberFormat="1" applyFont="1" applyFill="1" applyBorder="1" applyAlignment="1" applyProtection="1">
      <alignment horizontal="center" vertical="center" wrapText="1"/>
      <protection/>
    </xf>
    <xf numFmtId="171" fontId="5" fillId="0" borderId="0" xfId="60" applyNumberFormat="1" applyFont="1" applyFill="1" applyAlignment="1">
      <alignment/>
    </xf>
    <xf numFmtId="171" fontId="5" fillId="0" borderId="1" xfId="60" applyNumberFormat="1" applyFont="1" applyFill="1" applyBorder="1" applyAlignment="1">
      <alignment horizontal="center" vertical="center" wrapText="1"/>
    </xf>
    <xf numFmtId="171" fontId="5" fillId="0" borderId="1" xfId="60" applyNumberFormat="1" applyFont="1" applyFill="1" applyBorder="1" applyAlignment="1">
      <alignment horizontal="center" vertical="top" wrapText="1"/>
    </xf>
    <xf numFmtId="171" fontId="5" fillId="0" borderId="13" xfId="60" applyNumberFormat="1" applyFont="1" applyFill="1" applyBorder="1" applyAlignment="1">
      <alignment horizontal="center" vertical="center" wrapText="1"/>
    </xf>
    <xf numFmtId="171" fontId="5" fillId="0" borderId="19" xfId="60" applyNumberFormat="1" applyFont="1" applyFill="1" applyBorder="1" applyAlignment="1">
      <alignment horizontal="center" vertical="center" wrapText="1"/>
    </xf>
    <xf numFmtId="171" fontId="5" fillId="0" borderId="1" xfId="60" applyNumberFormat="1" applyFont="1" applyFill="1" applyBorder="1" applyAlignment="1">
      <alignment horizontal="center" vertical="center"/>
    </xf>
    <xf numFmtId="171" fontId="5" fillId="0" borderId="43" xfId="60" applyNumberFormat="1" applyFont="1" applyFill="1" applyBorder="1" applyAlignment="1">
      <alignment horizontal="center" vertical="center" wrapText="1"/>
    </xf>
    <xf numFmtId="171" fontId="5" fillId="0" borderId="1" xfId="60" applyNumberFormat="1" applyFont="1" applyFill="1" applyBorder="1" applyAlignment="1" applyProtection="1">
      <alignment horizontal="center" vertical="center" wrapText="1"/>
      <protection/>
    </xf>
    <xf numFmtId="171" fontId="5" fillId="0" borderId="73" xfId="60" applyNumberFormat="1" applyFont="1" applyFill="1" applyBorder="1" applyAlignment="1">
      <alignment horizontal="center" vertical="center" wrapText="1"/>
    </xf>
    <xf numFmtId="171" fontId="5" fillId="0" borderId="44" xfId="60" applyNumberFormat="1" applyFont="1" applyFill="1" applyBorder="1" applyAlignment="1">
      <alignment horizontal="center" vertical="center" wrapText="1"/>
    </xf>
    <xf numFmtId="171" fontId="5" fillId="0" borderId="20" xfId="60" applyNumberFormat="1" applyFont="1" applyFill="1" applyBorder="1" applyAlignment="1">
      <alignment horizontal="center" vertical="center" wrapText="1"/>
    </xf>
    <xf numFmtId="171" fontId="5" fillId="0" borderId="18" xfId="60" applyNumberFormat="1" applyFont="1" applyFill="1" applyBorder="1" applyAlignment="1">
      <alignment horizontal="center" vertical="top" wrapText="1"/>
    </xf>
    <xf numFmtId="171" fontId="5" fillId="0" borderId="19" xfId="60" applyNumberFormat="1" applyFont="1" applyFill="1" applyBorder="1" applyAlignment="1">
      <alignment horizontal="center" vertical="top" wrapText="1"/>
    </xf>
    <xf numFmtId="171" fontId="5" fillId="0" borderId="20" xfId="60" applyNumberFormat="1" applyFont="1" applyFill="1" applyBorder="1" applyAlignment="1">
      <alignment horizontal="center" vertical="top" wrapText="1"/>
    </xf>
    <xf numFmtId="171" fontId="5" fillId="0" borderId="22" xfId="60" applyNumberFormat="1" applyFont="1" applyFill="1" applyBorder="1" applyAlignment="1">
      <alignment horizontal="center" vertical="top" wrapText="1"/>
    </xf>
    <xf numFmtId="171" fontId="5" fillId="0" borderId="44" xfId="60" applyNumberFormat="1" applyFont="1" applyFill="1" applyBorder="1" applyAlignment="1">
      <alignment horizontal="center" vertical="top" wrapText="1"/>
    </xf>
    <xf numFmtId="171" fontId="5" fillId="0" borderId="63" xfId="60" applyNumberFormat="1" applyFont="1" applyFill="1" applyBorder="1" applyAlignment="1">
      <alignment horizontal="center" vertical="top" wrapText="1"/>
    </xf>
    <xf numFmtId="171" fontId="5" fillId="0" borderId="18" xfId="60" applyNumberFormat="1" applyFont="1" applyFill="1" applyBorder="1" applyAlignment="1">
      <alignment horizontal="center" vertical="center" wrapText="1"/>
    </xf>
    <xf numFmtId="171" fontId="5" fillId="0" borderId="22" xfId="60" applyNumberFormat="1" applyFont="1" applyFill="1" applyBorder="1" applyAlignment="1">
      <alignment horizontal="center" vertical="center" wrapText="1"/>
    </xf>
    <xf numFmtId="171" fontId="5" fillId="0" borderId="18" xfId="60" applyNumberFormat="1" applyFont="1" applyFill="1" applyBorder="1" applyAlignment="1" applyProtection="1">
      <alignment horizontal="center" vertical="center" wrapText="1"/>
      <protection/>
    </xf>
    <xf numFmtId="171" fontId="5" fillId="0" borderId="19" xfId="60" applyNumberFormat="1" applyFont="1" applyFill="1" applyBorder="1" applyAlignment="1" applyProtection="1">
      <alignment horizontal="center" vertical="center" wrapText="1"/>
      <protection/>
    </xf>
    <xf numFmtId="171" fontId="5" fillId="0" borderId="22" xfId="60" applyNumberFormat="1" applyFont="1" applyFill="1" applyBorder="1" applyAlignment="1" applyProtection="1">
      <alignment horizontal="center" vertical="center" wrapText="1"/>
      <protection/>
    </xf>
    <xf numFmtId="171" fontId="5" fillId="0" borderId="43" xfId="60" applyNumberFormat="1" applyFont="1" applyFill="1" applyBorder="1" applyAlignment="1" applyProtection="1">
      <alignment horizontal="center" vertical="center" wrapText="1"/>
      <protection/>
    </xf>
    <xf numFmtId="171" fontId="5" fillId="0" borderId="1" xfId="60" applyNumberFormat="1" applyFont="1" applyFill="1" applyBorder="1" applyAlignment="1">
      <alignment horizontal="center"/>
    </xf>
    <xf numFmtId="171" fontId="5" fillId="0" borderId="63" xfId="60" applyNumberFormat="1" applyFont="1" applyFill="1" applyBorder="1" applyAlignment="1" applyProtection="1">
      <alignment horizontal="center" vertical="center" wrapText="1"/>
      <protection/>
    </xf>
    <xf numFmtId="171" fontId="5" fillId="0" borderId="1" xfId="60" applyNumberFormat="1" applyFont="1" applyFill="1" applyBorder="1" applyAlignment="1" applyProtection="1">
      <alignment horizontal="center" vertical="top" wrapText="1"/>
      <protection/>
    </xf>
    <xf numFmtId="171" fontId="5" fillId="0" borderId="22" xfId="60" applyNumberFormat="1" applyFont="1" applyFill="1" applyBorder="1" applyAlignment="1" applyProtection="1">
      <alignment horizontal="center" vertical="top" wrapText="1"/>
      <protection/>
    </xf>
    <xf numFmtId="171" fontId="5" fillId="0" borderId="18" xfId="60" applyNumberFormat="1" applyFont="1" applyFill="1" applyBorder="1" applyAlignment="1" applyProtection="1">
      <alignment horizontal="center" vertical="top" wrapText="1"/>
      <protection/>
    </xf>
    <xf numFmtId="171" fontId="5" fillId="0" borderId="19" xfId="60" applyNumberFormat="1" applyFont="1" applyFill="1" applyBorder="1" applyAlignment="1" applyProtection="1">
      <alignment horizontal="center" vertical="top" wrapText="1"/>
      <protection/>
    </xf>
    <xf numFmtId="171" fontId="5" fillId="0" borderId="26" xfId="60" applyNumberFormat="1" applyFont="1" applyFill="1" applyBorder="1" applyAlignment="1" applyProtection="1">
      <alignment horizontal="center" vertical="center" wrapText="1"/>
      <protection/>
    </xf>
    <xf numFmtId="171" fontId="5" fillId="0" borderId="44" xfId="60" applyNumberFormat="1" applyFont="1" applyFill="1" applyBorder="1" applyAlignment="1" applyProtection="1">
      <alignment horizontal="center" vertical="top" wrapText="1"/>
      <protection/>
    </xf>
    <xf numFmtId="171" fontId="5" fillId="0" borderId="22" xfId="60" applyNumberFormat="1" applyFont="1" applyFill="1" applyBorder="1" applyAlignment="1">
      <alignment horizontal="center" vertical="center"/>
    </xf>
    <xf numFmtId="171" fontId="5" fillId="0" borderId="63" xfId="60" applyNumberFormat="1" applyFont="1" applyFill="1" applyBorder="1" applyAlignment="1">
      <alignment horizontal="center" vertical="center"/>
    </xf>
    <xf numFmtId="171" fontId="5" fillId="0" borderId="19" xfId="60" applyNumberFormat="1" applyFont="1" applyFill="1" applyBorder="1" applyAlignment="1" applyProtection="1">
      <alignment horizontal="right" vertical="center" wrapText="1"/>
      <protection/>
    </xf>
    <xf numFmtId="171" fontId="5" fillId="0" borderId="1" xfId="60" applyNumberFormat="1" applyFont="1" applyFill="1" applyBorder="1" applyAlignment="1" applyProtection="1">
      <alignment horizontal="right" vertical="center" wrapText="1"/>
      <protection/>
    </xf>
    <xf numFmtId="171" fontId="5" fillId="0" borderId="22" xfId="60" applyNumberFormat="1" applyFont="1" applyFill="1" applyBorder="1" applyAlignment="1" applyProtection="1">
      <alignment horizontal="right" vertical="center" wrapText="1"/>
      <protection/>
    </xf>
    <xf numFmtId="171" fontId="5" fillId="0" borderId="80" xfId="60" applyNumberFormat="1" applyFont="1" applyFill="1" applyBorder="1" applyAlignment="1">
      <alignment horizontal="center" vertical="center"/>
    </xf>
    <xf numFmtId="171" fontId="5" fillId="0" borderId="13" xfId="60" applyNumberFormat="1" applyFont="1" applyFill="1" applyBorder="1" applyAlignment="1" applyProtection="1">
      <alignment horizontal="center" vertical="center" wrapText="1"/>
      <protection/>
    </xf>
    <xf numFmtId="171" fontId="5" fillId="0" borderId="30" xfId="60" applyNumberFormat="1" applyFont="1" applyFill="1" applyBorder="1" applyAlignment="1">
      <alignment horizontal="center" vertical="top"/>
    </xf>
    <xf numFmtId="171" fontId="5" fillId="0" borderId="33" xfId="60" applyNumberFormat="1" applyFont="1" applyFill="1" applyBorder="1" applyAlignment="1">
      <alignment horizontal="left" vertical="top"/>
    </xf>
    <xf numFmtId="171" fontId="5" fillId="0" borderId="94" xfId="60" applyNumberFormat="1" applyFont="1" applyFill="1" applyBorder="1" applyAlignment="1">
      <alignment horizontal="center" vertical="top" wrapText="1"/>
    </xf>
    <xf numFmtId="171" fontId="5" fillId="0" borderId="13" xfId="60" applyNumberFormat="1" applyFont="1" applyFill="1" applyBorder="1" applyAlignment="1">
      <alignment horizontal="center" vertical="top" wrapText="1"/>
    </xf>
    <xf numFmtId="171" fontId="5" fillId="0" borderId="33" xfId="60" applyNumberFormat="1" applyFont="1" applyFill="1" applyBorder="1" applyAlignment="1">
      <alignment/>
    </xf>
    <xf numFmtId="171" fontId="5" fillId="0" borderId="38" xfId="60" applyNumberFormat="1" applyFont="1" applyFill="1" applyBorder="1" applyAlignment="1">
      <alignment/>
    </xf>
    <xf numFmtId="171" fontId="5" fillId="0" borderId="0" xfId="60" applyNumberFormat="1" applyFont="1" applyFill="1" applyBorder="1" applyAlignment="1">
      <alignment/>
    </xf>
    <xf numFmtId="171" fontId="5" fillId="0" borderId="30" xfId="60" applyNumberFormat="1" applyFont="1" applyFill="1" applyBorder="1" applyAlignment="1">
      <alignment/>
    </xf>
    <xf numFmtId="171" fontId="5" fillId="0" borderId="98" xfId="60" applyNumberFormat="1" applyFont="1" applyFill="1" applyBorder="1" applyAlignment="1">
      <alignment horizontal="center" vertical="top" wrapText="1"/>
    </xf>
    <xf numFmtId="171" fontId="5" fillId="0" borderId="85" xfId="60" applyNumberFormat="1" applyFont="1" applyFill="1" applyBorder="1" applyAlignment="1">
      <alignment horizontal="center" vertical="top" wrapText="1"/>
    </xf>
    <xf numFmtId="171" fontId="5" fillId="0" borderId="102" xfId="60" applyNumberFormat="1" applyFont="1" applyFill="1" applyBorder="1" applyAlignment="1">
      <alignment horizontal="center" vertical="top" wrapText="1"/>
    </xf>
    <xf numFmtId="171" fontId="5" fillId="0" borderId="35" xfId="60" applyNumberFormat="1" applyFont="1" applyFill="1" applyBorder="1" applyAlignment="1">
      <alignment horizontal="center" vertical="center"/>
    </xf>
    <xf numFmtId="171" fontId="5" fillId="0" borderId="35" xfId="60" applyNumberFormat="1" applyFont="1" applyFill="1" applyBorder="1" applyAlignment="1">
      <alignment horizontal="left" vertical="center"/>
    </xf>
    <xf numFmtId="171" fontId="5" fillId="0" borderId="63" xfId="60" applyNumberFormat="1" applyFont="1" applyFill="1" applyBorder="1" applyAlignment="1">
      <alignment horizontal="center" vertical="center" wrapText="1"/>
    </xf>
    <xf numFmtId="164" fontId="7" fillId="0" borderId="3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2" fontId="4" fillId="0" borderId="38" xfId="60" applyNumberFormat="1" applyFont="1" applyFill="1" applyBorder="1" applyAlignment="1" applyProtection="1">
      <alignment horizontal="center" vertical="center" wrapText="1"/>
      <protection/>
    </xf>
    <xf numFmtId="164" fontId="7" fillId="0" borderId="24" xfId="60" applyNumberFormat="1" applyFont="1" applyFill="1" applyBorder="1" applyAlignment="1" applyProtection="1">
      <alignment horizontal="center" vertical="center" wrapText="1"/>
      <protection/>
    </xf>
    <xf numFmtId="0" fontId="4" fillId="0" borderId="81" xfId="0" applyFont="1" applyFill="1" applyBorder="1" applyAlignment="1">
      <alignment horizontal="left" vertical="top" wrapText="1"/>
    </xf>
    <xf numFmtId="0" fontId="3" fillId="0" borderId="69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center" vertical="top" wrapText="1"/>
    </xf>
    <xf numFmtId="0" fontId="6" fillId="0" borderId="105" xfId="0" applyFont="1" applyFill="1" applyBorder="1" applyAlignment="1">
      <alignment horizontal="center" vertical="top" wrapText="1"/>
    </xf>
    <xf numFmtId="0" fontId="7" fillId="0" borderId="105" xfId="0" applyFont="1" applyFill="1" applyBorder="1" applyAlignment="1">
      <alignment horizontal="center" vertical="top" wrapText="1"/>
    </xf>
    <xf numFmtId="164" fontId="7" fillId="0" borderId="106" xfId="60" applyNumberFormat="1" applyFont="1" applyFill="1" applyBorder="1" applyAlignment="1" applyProtection="1">
      <alignment horizontal="center" vertical="center" wrapText="1"/>
      <protection/>
    </xf>
    <xf numFmtId="171" fontId="5" fillId="0" borderId="106" xfId="60" applyNumberFormat="1" applyFont="1" applyFill="1" applyBorder="1" applyAlignment="1" applyProtection="1">
      <alignment horizontal="center" vertical="center" wrapText="1"/>
      <protection/>
    </xf>
    <xf numFmtId="164" fontId="7" fillId="0" borderId="105" xfId="60" applyNumberFormat="1" applyFont="1" applyFill="1" applyBorder="1" applyAlignment="1" applyProtection="1">
      <alignment horizontal="center" vertical="center" wrapText="1"/>
      <protection/>
    </xf>
    <xf numFmtId="0" fontId="4" fillId="0" borderId="107" xfId="0" applyFont="1" applyFill="1" applyBorder="1" applyAlignment="1">
      <alignment horizontal="left" vertical="top" wrapText="1"/>
    </xf>
    <xf numFmtId="0" fontId="3" fillId="0" borderId="105" xfId="0" applyFont="1" applyFill="1" applyBorder="1" applyAlignment="1">
      <alignment/>
    </xf>
    <xf numFmtId="16" fontId="5" fillId="0" borderId="30" xfId="0" applyNumberFormat="1" applyFont="1" applyFill="1" applyBorder="1" applyAlignment="1">
      <alignment horizontal="center" vertical="top" wrapText="1"/>
    </xf>
    <xf numFmtId="164" fontId="7" fillId="0" borderId="46" xfId="0" applyNumberFormat="1" applyFont="1" applyFill="1" applyBorder="1" applyAlignment="1">
      <alignment horizontal="center" vertical="center" wrapText="1"/>
    </xf>
    <xf numFmtId="165" fontId="5" fillId="0" borderId="22" xfId="60" applyFont="1" applyFill="1" applyBorder="1" applyAlignment="1">
      <alignment horizontal="center" vertical="top" wrapText="1"/>
    </xf>
    <xf numFmtId="16" fontId="5" fillId="0" borderId="22" xfId="0" applyNumberFormat="1" applyFont="1" applyFill="1" applyBorder="1" applyAlignment="1">
      <alignment horizontal="center" vertical="top" wrapText="1"/>
    </xf>
    <xf numFmtId="171" fontId="5" fillId="0" borderId="43" xfId="60" applyNumberFormat="1" applyFont="1" applyFill="1" applyBorder="1" applyAlignment="1">
      <alignment horizontal="center" vertical="top" wrapText="1"/>
    </xf>
    <xf numFmtId="164" fontId="7" fillId="0" borderId="88" xfId="0" applyNumberFormat="1" applyFont="1" applyFill="1" applyBorder="1" applyAlignment="1">
      <alignment horizontal="center" vertical="top" wrapText="1"/>
    </xf>
    <xf numFmtId="0" fontId="7" fillId="0" borderId="108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 wrapText="1"/>
    </xf>
    <xf numFmtId="164" fontId="7" fillId="0" borderId="73" xfId="0" applyNumberFormat="1" applyFont="1" applyFill="1" applyBorder="1" applyAlignment="1">
      <alignment horizontal="center" vertical="top" wrapText="1"/>
    </xf>
    <xf numFmtId="171" fontId="5" fillId="0" borderId="73" xfId="60" applyNumberFormat="1" applyFont="1" applyFill="1" applyBorder="1" applyAlignment="1">
      <alignment horizontal="center" vertical="top" wrapText="1"/>
    </xf>
    <xf numFmtId="164" fontId="5" fillId="0" borderId="33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/>
    </xf>
    <xf numFmtId="0" fontId="8" fillId="0" borderId="9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6" fillId="0" borderId="43" xfId="0" applyFont="1" applyFill="1" applyBorder="1" applyAlignment="1">
      <alignment horizontal="center" vertical="top"/>
    </xf>
    <xf numFmtId="0" fontId="4" fillId="0" borderId="80" xfId="0" applyFont="1" applyFill="1" applyBorder="1" applyAlignment="1">
      <alignment horizontal="center" vertical="center" wrapText="1"/>
    </xf>
    <xf numFmtId="2" fontId="11" fillId="0" borderId="24" xfId="6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center" vertical="top" wrapText="1"/>
    </xf>
    <xf numFmtId="0" fontId="4" fillId="0" borderId="110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center" vertical="center" wrapText="1"/>
    </xf>
    <xf numFmtId="171" fontId="5" fillId="0" borderId="44" xfId="60" applyNumberFormat="1" applyFont="1" applyFill="1" applyBorder="1" applyAlignment="1" applyProtection="1">
      <alignment horizontal="center" vertical="center" wrapText="1"/>
      <protection/>
    </xf>
    <xf numFmtId="164" fontId="7" fillId="0" borderId="56" xfId="60" applyNumberFormat="1" applyFont="1" applyFill="1" applyBorder="1" applyAlignment="1" applyProtection="1">
      <alignment horizontal="center" vertical="center" wrapText="1"/>
      <protection/>
    </xf>
    <xf numFmtId="2" fontId="11" fillId="0" borderId="86" xfId="60" applyNumberFormat="1" applyFont="1" applyFill="1" applyBorder="1" applyAlignment="1" applyProtection="1">
      <alignment vertical="center" wrapText="1"/>
      <protection/>
    </xf>
    <xf numFmtId="0" fontId="4" fillId="0" borderId="111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top"/>
    </xf>
    <xf numFmtId="171" fontId="5" fillId="0" borderId="63" xfId="60" applyNumberFormat="1" applyFont="1" applyFill="1" applyBorder="1" applyAlignment="1" applyProtection="1">
      <alignment horizontal="right" vertical="center" wrapText="1"/>
      <protection/>
    </xf>
    <xf numFmtId="164" fontId="5" fillId="0" borderId="77" xfId="0" applyNumberFormat="1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vertical="center"/>
    </xf>
    <xf numFmtId="165" fontId="5" fillId="0" borderId="77" xfId="60" applyFont="1" applyFill="1" applyBorder="1" applyAlignment="1" applyProtection="1">
      <alignment vertical="center"/>
      <protection/>
    </xf>
    <xf numFmtId="171" fontId="5" fillId="0" borderId="77" xfId="60" applyNumberFormat="1" applyFont="1" applyFill="1" applyBorder="1" applyAlignment="1" applyProtection="1">
      <alignment horizontal="center" vertical="center"/>
      <protection/>
    </xf>
    <xf numFmtId="171" fontId="5" fillId="0" borderId="77" xfId="60" applyNumberFormat="1" applyFont="1" applyFill="1" applyBorder="1" applyAlignment="1">
      <alignment horizontal="center" vertical="center"/>
    </xf>
    <xf numFmtId="164" fontId="5" fillId="0" borderId="77" xfId="6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top"/>
    </xf>
    <xf numFmtId="16" fontId="4" fillId="0" borderId="38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11" fillId="0" borderId="59" xfId="0" applyFont="1" applyFill="1" applyBorder="1" applyAlignment="1">
      <alignment horizontal="center" vertical="center" wrapText="1"/>
    </xf>
    <xf numFmtId="0" fontId="4" fillId="0" borderId="112" xfId="0" applyFont="1" applyFill="1" applyBorder="1" applyAlignment="1">
      <alignment horizontal="center" vertical="center" wrapText="1"/>
    </xf>
    <xf numFmtId="164" fontId="5" fillId="0" borderId="35" xfId="6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>
      <alignment horizontal="center" vertical="center" wrapText="1"/>
    </xf>
    <xf numFmtId="164" fontId="5" fillId="0" borderId="15" xfId="60" applyNumberFormat="1" applyFont="1" applyFill="1" applyBorder="1" applyAlignment="1" applyProtection="1">
      <alignment horizontal="center" vertical="center" wrapText="1"/>
      <protection/>
    </xf>
    <xf numFmtId="2" fontId="4" fillId="0" borderId="35" xfId="60" applyNumberFormat="1" applyFont="1" applyFill="1" applyBorder="1" applyAlignment="1" applyProtection="1">
      <alignment horizontal="center" vertical="center" wrapText="1"/>
      <protection/>
    </xf>
    <xf numFmtId="2" fontId="4" fillId="0" borderId="63" xfId="6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1" fillId="0" borderId="64" xfId="0" applyNumberFormat="1" applyFont="1" applyFill="1" applyBorder="1" applyAlignment="1">
      <alignment horizontal="center" vertical="top" wrapText="1"/>
    </xf>
    <xf numFmtId="0" fontId="3" fillId="0" borderId="63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 vertical="top" wrapText="1"/>
    </xf>
    <xf numFmtId="164" fontId="4" fillId="0" borderId="63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top" wrapText="1"/>
    </xf>
    <xf numFmtId="0" fontId="5" fillId="0" borderId="9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top"/>
    </xf>
    <xf numFmtId="49" fontId="5" fillId="0" borderId="47" xfId="0" applyNumberFormat="1" applyFont="1" applyFill="1" applyBorder="1" applyAlignment="1">
      <alignment horizontal="center" vertical="top"/>
    </xf>
    <xf numFmtId="0" fontId="0" fillId="0" borderId="113" xfId="0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8" fillId="0" borderId="108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top"/>
    </xf>
    <xf numFmtId="0" fontId="6" fillId="0" borderId="63" xfId="0" applyFont="1" applyFill="1" applyBorder="1" applyAlignment="1">
      <alignment horizontal="center" vertical="top"/>
    </xf>
    <xf numFmtId="0" fontId="7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0" fontId="4" fillId="0" borderId="114" xfId="0" applyFont="1" applyFill="1" applyBorder="1" applyAlignment="1">
      <alignment horizontal="center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0" fillId="0" borderId="115" xfId="0" applyFill="1" applyBorder="1" applyAlignment="1">
      <alignment horizontal="center" vertical="center" wrapText="1"/>
    </xf>
    <xf numFmtId="0" fontId="0" fillId="0" borderId="116" xfId="0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 wrapText="1"/>
    </xf>
    <xf numFmtId="0" fontId="7" fillId="0" borderId="9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left" vertical="center" wrapText="1"/>
    </xf>
    <xf numFmtId="16" fontId="7" fillId="0" borderId="40" xfId="0" applyNumberFormat="1" applyFont="1" applyFill="1" applyBorder="1" applyAlignment="1">
      <alignment horizontal="left" vertical="center" wrapText="1"/>
    </xf>
    <xf numFmtId="0" fontId="5" fillId="0" borderId="117" xfId="0" applyFont="1" applyFill="1" applyBorder="1" applyAlignment="1">
      <alignment horizontal="center" vertical="top"/>
    </xf>
    <xf numFmtId="16" fontId="4" fillId="0" borderId="1" xfId="0" applyNumberFormat="1" applyFont="1" applyFill="1" applyBorder="1" applyAlignment="1">
      <alignment horizontal="center" vertical="top" wrapText="1"/>
    </xf>
    <xf numFmtId="0" fontId="3" fillId="0" borderId="118" xfId="0" applyFont="1" applyFill="1" applyBorder="1" applyAlignment="1">
      <alignment horizontal="center"/>
    </xf>
    <xf numFmtId="0" fontId="3" fillId="0" borderId="119" xfId="0" applyFont="1" applyFill="1" applyBorder="1" applyAlignment="1">
      <alignment horizontal="center"/>
    </xf>
    <xf numFmtId="0" fontId="3" fillId="0" borderId="120" xfId="0" applyFont="1" applyFill="1" applyBorder="1" applyAlignment="1">
      <alignment horizontal="center"/>
    </xf>
    <xf numFmtId="0" fontId="7" fillId="0" borderId="121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/>
    </xf>
    <xf numFmtId="0" fontId="7" fillId="0" borderId="60" xfId="0" applyFont="1" applyFill="1" applyBorder="1" applyAlignment="1">
      <alignment horizontal="center" vertical="top"/>
    </xf>
    <xf numFmtId="0" fontId="4" fillId="0" borderId="122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/>
    </xf>
    <xf numFmtId="0" fontId="5" fillId="0" borderId="108" xfId="0" applyFont="1" applyFill="1" applyBorder="1" applyAlignment="1">
      <alignment horizontal="center" vertical="top"/>
    </xf>
    <xf numFmtId="0" fontId="4" fillId="0" borderId="6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/>
    </xf>
    <xf numFmtId="16" fontId="5" fillId="0" borderId="18" xfId="0" applyNumberFormat="1" applyFont="1" applyFill="1" applyBorder="1" applyAlignment="1">
      <alignment horizontal="center" vertical="top" wrapText="1"/>
    </xf>
    <xf numFmtId="16" fontId="5" fillId="0" borderId="85" xfId="0" applyNumberFormat="1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horizontal="center" vertical="top"/>
    </xf>
    <xf numFmtId="16" fontId="5" fillId="0" borderId="63" xfId="0" applyNumberFormat="1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top" wrapText="1"/>
    </xf>
    <xf numFmtId="0" fontId="7" fillId="0" borderId="9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85" xfId="0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center" vertical="top"/>
    </xf>
    <xf numFmtId="16" fontId="5" fillId="0" borderId="60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/>
    </xf>
    <xf numFmtId="0" fontId="3" fillId="0" borderId="10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6" fillId="0" borderId="60" xfId="0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horizontal="left" vertical="center" wrapText="1"/>
    </xf>
    <xf numFmtId="0" fontId="5" fillId="0" borderId="28" xfId="0" applyNumberFormat="1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" fillId="0" borderId="70" xfId="0" applyNumberFormat="1" applyFont="1" applyFill="1" applyBorder="1" applyAlignment="1">
      <alignment vertical="top"/>
    </xf>
    <xf numFmtId="0" fontId="5" fillId="0" borderId="108" xfId="0" applyNumberFormat="1" applyFont="1" applyFill="1" applyBorder="1" applyAlignment="1">
      <alignment vertical="top"/>
    </xf>
    <xf numFmtId="0" fontId="4" fillId="0" borderId="70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49" fontId="5" fillId="0" borderId="63" xfId="0" applyNumberFormat="1" applyFont="1" applyFill="1" applyBorder="1" applyAlignment="1">
      <alignment horizontal="center" vertical="top"/>
    </xf>
    <xf numFmtId="49" fontId="5" fillId="0" borderId="80" xfId="0" applyNumberFormat="1" applyFont="1" applyFill="1" applyBorder="1" applyAlignment="1">
      <alignment horizontal="center" vertical="top"/>
    </xf>
    <xf numFmtId="0" fontId="8" fillId="0" borderId="112" xfId="0" applyFont="1" applyFill="1" applyBorder="1" applyAlignment="1">
      <alignment horizontal="center" vertical="center" wrapText="1"/>
    </xf>
    <xf numFmtId="0" fontId="8" fillId="0" borderId="123" xfId="0" applyFont="1" applyFill="1" applyBorder="1" applyAlignment="1">
      <alignment horizontal="center" vertical="center" wrapText="1"/>
    </xf>
    <xf numFmtId="0" fontId="21" fillId="0" borderId="123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top" wrapText="1"/>
    </xf>
    <xf numFmtId="2" fontId="11" fillId="0" borderId="23" xfId="6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2" fontId="11" fillId="0" borderId="63" xfId="60" applyNumberFormat="1" applyFont="1" applyFill="1" applyBorder="1" applyAlignment="1" applyProtection="1">
      <alignment vertical="center" wrapText="1"/>
      <protection/>
    </xf>
    <xf numFmtId="2" fontId="11" fillId="0" borderId="24" xfId="60" applyNumberFormat="1" applyFont="1" applyFill="1" applyBorder="1" applyAlignment="1" applyProtection="1">
      <alignment horizontal="center" vertical="center" wrapText="1"/>
      <protection/>
    </xf>
    <xf numFmtId="2" fontId="11" fillId="0" borderId="37" xfId="6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center" vertical="center" wrapText="1"/>
    </xf>
    <xf numFmtId="2" fontId="11" fillId="0" borderId="22" xfId="60" applyNumberFormat="1" applyFont="1" applyFill="1" applyBorder="1" applyAlignment="1" applyProtection="1">
      <alignment horizontal="center" vertical="center" wrapText="1"/>
      <protection/>
    </xf>
    <xf numFmtId="2" fontId="11" fillId="0" borderId="19" xfId="6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7" fillId="0" borderId="124" xfId="0" applyFont="1" applyFill="1" applyBorder="1" applyAlignment="1">
      <alignment horizontal="left" vertical="top" wrapText="1"/>
    </xf>
    <xf numFmtId="0" fontId="7" fillId="0" borderId="6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top"/>
    </xf>
    <xf numFmtId="2" fontId="11" fillId="0" borderId="1" xfId="6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/>
    </xf>
    <xf numFmtId="0" fontId="18" fillId="0" borderId="5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top" wrapText="1"/>
    </xf>
    <xf numFmtId="166" fontId="4" fillId="0" borderId="63" xfId="0" applyNumberFormat="1" applyFont="1" applyFill="1" applyBorder="1" applyAlignment="1">
      <alignment horizontal="center" vertical="top" wrapText="1"/>
    </xf>
    <xf numFmtId="0" fontId="18" fillId="0" borderId="51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16" fontId="15" fillId="0" borderId="47" xfId="0" applyNumberFormat="1" applyFont="1" applyFill="1" applyBorder="1" applyAlignment="1">
      <alignment horizontal="center" vertical="center"/>
    </xf>
    <xf numFmtId="16" fontId="15" fillId="0" borderId="28" xfId="0" applyNumberFormat="1" applyFont="1" applyFill="1" applyBorder="1" applyAlignment="1">
      <alignment horizontal="center" vertical="center"/>
    </xf>
    <xf numFmtId="0" fontId="16" fillId="0" borderId="37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164" fontId="7" fillId="0" borderId="56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55" xfId="0" applyNumberFormat="1" applyFont="1" applyFill="1" applyBorder="1" applyAlignment="1">
      <alignment horizontal="center" vertical="top" wrapText="1"/>
    </xf>
    <xf numFmtId="0" fontId="7" fillId="0" borderId="54" xfId="0" applyFont="1" applyFill="1" applyBorder="1" applyAlignment="1">
      <alignment horizontal="center" vertical="top" wrapText="1"/>
    </xf>
    <xf numFmtId="164" fontId="7" fillId="0" borderId="87" xfId="0" applyNumberFormat="1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164" fontId="7" fillId="0" borderId="85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164" fontId="7" fillId="0" borderId="43" xfId="0" applyNumberFormat="1" applyFont="1" applyFill="1" applyBorder="1" applyAlignment="1">
      <alignment horizontal="center" vertical="top" wrapText="1"/>
    </xf>
    <xf numFmtId="164" fontId="7" fillId="0" borderId="34" xfId="0" applyNumberFormat="1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/>
    </xf>
    <xf numFmtId="0" fontId="5" fillId="0" borderId="47" xfId="0" applyFont="1" applyFill="1" applyBorder="1" applyAlignment="1">
      <alignment horizontal="center" vertical="top"/>
    </xf>
    <xf numFmtId="0" fontId="0" fillId="0" borderId="47" xfId="0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6" fontId="4" fillId="0" borderId="24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171" fontId="5" fillId="0" borderId="1" xfId="6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top" wrapText="1"/>
    </xf>
    <xf numFmtId="164" fontId="7" fillId="0" borderId="1" xfId="60" applyNumberFormat="1" applyFont="1" applyFill="1" applyBorder="1" applyAlignment="1" applyProtection="1">
      <alignment horizontal="center" vertical="center" wrapText="1"/>
      <protection/>
    </xf>
    <xf numFmtId="0" fontId="11" fillId="0" borderId="69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113" xfId="0" applyFont="1" applyFill="1" applyBorder="1" applyAlignment="1">
      <alignment horizontal="center"/>
    </xf>
    <xf numFmtId="0" fontId="7" fillId="0" borderId="28" xfId="0" applyFont="1" applyFill="1" applyBorder="1" applyAlignment="1">
      <alignment vertical="top"/>
    </xf>
    <xf numFmtId="0" fontId="0" fillId="0" borderId="47" xfId="0" applyFont="1" applyFill="1" applyBorder="1" applyAlignment="1">
      <alignment vertical="top"/>
    </xf>
    <xf numFmtId="0" fontId="0" fillId="0" borderId="113" xfId="0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 wrapText="1"/>
    </xf>
    <xf numFmtId="0" fontId="11" fillId="0" borderId="63" xfId="0" applyNumberFormat="1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124" xfId="0" applyNumberFormat="1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top" wrapText="1"/>
    </xf>
    <xf numFmtId="0" fontId="5" fillId="0" borderId="124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top" wrapText="1"/>
    </xf>
    <xf numFmtId="0" fontId="7" fillId="0" borderId="85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164" fontId="7" fillId="0" borderId="44" xfId="0" applyNumberFormat="1" applyFont="1" applyFill="1" applyBorder="1" applyAlignment="1">
      <alignment horizontal="center" vertical="top" wrapText="1"/>
    </xf>
    <xf numFmtId="49" fontId="8" fillId="0" borderId="124" xfId="0" applyNumberFormat="1" applyFont="1" applyFill="1" applyBorder="1" applyAlignment="1">
      <alignment horizontal="left"/>
    </xf>
    <xf numFmtId="49" fontId="8" fillId="0" borderId="61" xfId="0" applyNumberFormat="1" applyFont="1" applyFill="1" applyBorder="1" applyAlignment="1">
      <alignment horizontal="left"/>
    </xf>
    <xf numFmtId="0" fontId="5" fillId="0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95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2" fontId="11" fillId="0" borderId="125" xfId="60" applyNumberFormat="1" applyFont="1" applyFill="1" applyBorder="1" applyAlignment="1" applyProtection="1">
      <alignment horizontal="center" vertical="center" wrapText="1"/>
      <protection/>
    </xf>
    <xf numFmtId="0" fontId="0" fillId="0" borderId="84" xfId="0" applyFill="1" applyBorder="1" applyAlignment="1">
      <alignment vertical="center" wrapText="1"/>
    </xf>
    <xf numFmtId="0" fontId="0" fillId="0" borderId="77" xfId="0" applyFill="1" applyBorder="1" applyAlignment="1">
      <alignment vertical="center" wrapText="1"/>
    </xf>
    <xf numFmtId="0" fontId="7" fillId="0" borderId="58" xfId="0" applyFont="1" applyFill="1" applyBorder="1" applyAlignment="1">
      <alignment horizontal="center" vertical="top" wrapText="1"/>
    </xf>
    <xf numFmtId="0" fontId="4" fillId="0" borderId="80" xfId="0" applyFont="1" applyFill="1" applyBorder="1" applyAlignment="1">
      <alignment horizontal="left" vertical="top" wrapText="1"/>
    </xf>
    <xf numFmtId="0" fontId="4" fillId="0" borderId="84" xfId="0" applyFont="1" applyFill="1" applyBorder="1" applyAlignment="1">
      <alignment horizontal="left" vertical="top" wrapText="1"/>
    </xf>
    <xf numFmtId="0" fontId="0" fillId="0" borderId="84" xfId="0" applyFill="1" applyBorder="1" applyAlignment="1">
      <alignment horizontal="left" vertical="top" wrapText="1"/>
    </xf>
    <xf numFmtId="0" fontId="0" fillId="0" borderId="77" xfId="0" applyFill="1" applyBorder="1" applyAlignment="1">
      <alignment horizontal="left" vertical="top" wrapText="1"/>
    </xf>
    <xf numFmtId="49" fontId="7" fillId="0" borderId="54" xfId="0" applyNumberFormat="1" applyFont="1" applyFill="1" applyBorder="1" applyAlignment="1">
      <alignment horizontal="center" vertical="top"/>
    </xf>
    <xf numFmtId="0" fontId="0" fillId="0" borderId="49" xfId="0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76" xfId="0" applyFill="1" applyBorder="1" applyAlignment="1">
      <alignment horizontal="center" vertical="top"/>
    </xf>
    <xf numFmtId="16" fontId="5" fillId="0" borderId="68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76" xfId="0" applyFill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2" fontId="4" fillId="0" borderId="37" xfId="0" applyNumberFormat="1" applyFont="1" applyFill="1" applyBorder="1" applyAlignment="1">
      <alignment horizontal="center" vertical="top" wrapText="1"/>
    </xf>
    <xf numFmtId="2" fontId="4" fillId="0" borderId="48" xfId="0" applyNumberFormat="1" applyFont="1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14" fontId="4" fillId="0" borderId="24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14" fontId="4" fillId="0" borderId="37" xfId="0" applyNumberFormat="1" applyFont="1" applyFill="1" applyBorder="1" applyAlignment="1">
      <alignment horizontal="center" vertical="center" wrapText="1"/>
    </xf>
    <xf numFmtId="14" fontId="4" fillId="0" borderId="48" xfId="0" applyNumberFormat="1" applyFont="1" applyFill="1" applyBorder="1" applyAlignment="1">
      <alignment horizontal="center" vertical="center" wrapText="1"/>
    </xf>
    <xf numFmtId="0" fontId="4" fillId="0" borderId="111" xfId="0" applyFont="1" applyFill="1" applyBorder="1" applyAlignment="1">
      <alignment horizontal="left" vertical="top" wrapText="1"/>
    </xf>
    <xf numFmtId="0" fontId="4" fillId="0" borderId="126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color indexed="16"/>
      </font>
      <fill>
        <patternFill patternType="solid">
          <fgColor indexed="43"/>
          <bgColor indexed="31"/>
        </patternFill>
      </fill>
    </dxf>
    <dxf>
      <font>
        <b val="0"/>
        <color rgb="FF800000"/>
      </font>
      <fill>
        <patternFill patternType="solid">
          <fgColor rgb="FFFFFF99"/>
          <bgColor rgb="FFCC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DE8C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9"/>
  <sheetViews>
    <sheetView tabSelected="1" view="pageBreakPreview" zoomScale="65" zoomScaleSheetLayoutView="65" zoomScalePageLayoutView="0" workbookViewId="0" topLeftCell="A733">
      <selection activeCell="O576" sqref="O576"/>
    </sheetView>
  </sheetViews>
  <sheetFormatPr defaultColWidth="9.00390625" defaultRowHeight="12.75"/>
  <cols>
    <col min="1" max="1" width="11.25390625" style="1" customWidth="1"/>
    <col min="2" max="2" width="49.125" style="2" customWidth="1"/>
    <col min="3" max="3" width="21.375" style="2" customWidth="1"/>
    <col min="4" max="4" width="13.625" style="2" customWidth="1"/>
    <col min="5" max="5" width="22.75390625" style="2" customWidth="1"/>
    <col min="6" max="6" width="24.875" style="2" customWidth="1"/>
    <col min="7" max="7" width="20.75390625" style="2" customWidth="1"/>
    <col min="8" max="8" width="20.00390625" style="2" customWidth="1"/>
    <col min="9" max="9" width="21.625" style="2" customWidth="1"/>
    <col min="10" max="10" width="31.625" style="531" customWidth="1"/>
    <col min="11" max="11" width="21.25390625" style="2" customWidth="1"/>
    <col min="12" max="12" width="28.125" style="3" customWidth="1"/>
    <col min="13" max="13" width="62.125" style="86" customWidth="1"/>
    <col min="14" max="14" width="9.75390625" style="86" customWidth="1"/>
    <col min="15" max="15" width="57.625" style="2" customWidth="1"/>
    <col min="16" max="17" width="9.125" style="2" customWidth="1"/>
    <col min="18" max="18" width="27.875" style="2" customWidth="1"/>
    <col min="19" max="19" width="31.75390625" style="2" customWidth="1"/>
    <col min="20" max="20" width="29.125" style="2" customWidth="1"/>
    <col min="21" max="21" width="25.75390625" style="2" customWidth="1"/>
    <col min="22" max="22" width="34.625" style="2" customWidth="1"/>
    <col min="23" max="16384" width="9.125" style="2" customWidth="1"/>
  </cols>
  <sheetData>
    <row r="1" spans="10:14" ht="27" customHeight="1">
      <c r="J1" s="846" t="s">
        <v>0</v>
      </c>
      <c r="K1" s="846"/>
      <c r="L1" s="846"/>
      <c r="M1" s="846"/>
      <c r="N1" s="87"/>
    </row>
    <row r="2" spans="10:14" ht="36" customHeight="1">
      <c r="J2" s="843" t="s">
        <v>337</v>
      </c>
      <c r="K2" s="843"/>
      <c r="L2" s="843"/>
      <c r="M2" s="843"/>
      <c r="N2" s="88"/>
    </row>
    <row r="3" spans="2:12" ht="18.75" customHeight="1">
      <c r="B3" s="847" t="s">
        <v>1</v>
      </c>
      <c r="C3" s="847"/>
      <c r="D3" s="847"/>
      <c r="E3" s="847"/>
      <c r="F3" s="847"/>
      <c r="G3" s="847"/>
      <c r="H3" s="847"/>
      <c r="I3" s="847"/>
      <c r="J3" s="847"/>
      <c r="K3" s="847"/>
      <c r="L3" s="847"/>
    </row>
    <row r="4" spans="10:13" ht="21" thickBot="1">
      <c r="J4" s="531" t="s">
        <v>2</v>
      </c>
      <c r="M4" s="276"/>
    </row>
    <row r="5" spans="1:14" ht="28.5" customHeight="1" thickBot="1">
      <c r="A5" s="848"/>
      <c r="B5" s="821" t="s">
        <v>3</v>
      </c>
      <c r="C5" s="821"/>
      <c r="D5" s="822" t="s">
        <v>4</v>
      </c>
      <c r="E5" s="821" t="s">
        <v>5</v>
      </c>
      <c r="F5" s="821" t="s">
        <v>6</v>
      </c>
      <c r="G5" s="821"/>
      <c r="H5" s="821"/>
      <c r="I5" s="821"/>
      <c r="J5" s="821"/>
      <c r="K5" s="821" t="s">
        <v>7</v>
      </c>
      <c r="L5" s="849" t="s">
        <v>8</v>
      </c>
      <c r="M5" s="823" t="s">
        <v>9</v>
      </c>
      <c r="N5" s="275"/>
    </row>
    <row r="6" spans="1:14" ht="28.5" customHeight="1" thickBot="1">
      <c r="A6" s="848"/>
      <c r="B6" s="821"/>
      <c r="C6" s="821"/>
      <c r="D6" s="822"/>
      <c r="E6" s="821"/>
      <c r="F6" s="824" t="s">
        <v>10</v>
      </c>
      <c r="G6" s="653" t="s">
        <v>11</v>
      </c>
      <c r="H6" s="653"/>
      <c r="I6" s="653"/>
      <c r="J6" s="653"/>
      <c r="K6" s="821"/>
      <c r="L6" s="849"/>
      <c r="M6" s="823"/>
      <c r="N6" s="275"/>
    </row>
    <row r="7" spans="1:14" ht="28.5" customHeight="1" thickBot="1">
      <c r="A7" s="848"/>
      <c r="B7" s="821"/>
      <c r="C7" s="821"/>
      <c r="D7" s="822"/>
      <c r="E7" s="821"/>
      <c r="F7" s="824"/>
      <c r="G7" s="653" t="s">
        <v>12</v>
      </c>
      <c r="H7" s="653"/>
      <c r="I7" s="653"/>
      <c r="J7" s="803" t="s">
        <v>13</v>
      </c>
      <c r="K7" s="821"/>
      <c r="L7" s="849"/>
      <c r="M7" s="823"/>
      <c r="N7" s="275"/>
    </row>
    <row r="8" spans="1:14" ht="28.5" customHeight="1" thickBot="1">
      <c r="A8" s="848"/>
      <c r="B8" s="821"/>
      <c r="C8" s="821"/>
      <c r="D8" s="822"/>
      <c r="E8" s="821"/>
      <c r="F8" s="824"/>
      <c r="G8" s="653" t="s">
        <v>14</v>
      </c>
      <c r="H8" s="653" t="s">
        <v>15</v>
      </c>
      <c r="I8" s="653"/>
      <c r="J8" s="803"/>
      <c r="K8" s="653"/>
      <c r="L8" s="850"/>
      <c r="M8" s="823"/>
      <c r="N8" s="275"/>
    </row>
    <row r="9" spans="1:14" ht="73.5" customHeight="1">
      <c r="A9" s="848"/>
      <c r="B9" s="821"/>
      <c r="C9" s="821"/>
      <c r="D9" s="822"/>
      <c r="E9" s="821"/>
      <c r="F9" s="824"/>
      <c r="G9" s="653"/>
      <c r="H9" s="4" t="s">
        <v>16</v>
      </c>
      <c r="I9" s="4" t="s">
        <v>17</v>
      </c>
      <c r="J9" s="803"/>
      <c r="K9" s="653"/>
      <c r="L9" s="850"/>
      <c r="M9" s="823"/>
      <c r="N9" s="275"/>
    </row>
    <row r="10" spans="1:14" s="7" customFormat="1" ht="20.25" customHeight="1">
      <c r="A10" s="5">
        <v>1</v>
      </c>
      <c r="B10" s="704">
        <v>2</v>
      </c>
      <c r="C10" s="704"/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533">
        <v>9</v>
      </c>
      <c r="K10" s="6">
        <v>10</v>
      </c>
      <c r="L10" s="6">
        <v>11</v>
      </c>
      <c r="M10" s="277">
        <v>12</v>
      </c>
      <c r="N10" s="89"/>
    </row>
    <row r="11" spans="1:14" ht="24" customHeight="1">
      <c r="A11" s="831" t="s">
        <v>18</v>
      </c>
      <c r="B11" s="831"/>
      <c r="C11" s="831"/>
      <c r="D11" s="831"/>
      <c r="E11" s="831"/>
      <c r="F11" s="831"/>
      <c r="G11" s="831"/>
      <c r="H11" s="831"/>
      <c r="I11" s="831"/>
      <c r="J11" s="831"/>
      <c r="K11" s="831"/>
      <c r="L11" s="831"/>
      <c r="M11" s="831"/>
      <c r="N11" s="90"/>
    </row>
    <row r="12" spans="1:14" s="3" customFormat="1" ht="51" customHeight="1">
      <c r="A12" s="832" t="s">
        <v>19</v>
      </c>
      <c r="B12" s="832"/>
      <c r="C12" s="832"/>
      <c r="D12" s="832"/>
      <c r="E12" s="832"/>
      <c r="F12" s="832"/>
      <c r="G12" s="832"/>
      <c r="H12" s="832"/>
      <c r="I12" s="832"/>
      <c r="J12" s="832"/>
      <c r="K12" s="832"/>
      <c r="L12" s="832"/>
      <c r="M12" s="832"/>
      <c r="N12" s="91"/>
    </row>
    <row r="13" spans="1:14" s="7" customFormat="1" ht="95.25" customHeight="1">
      <c r="A13" s="826" t="s">
        <v>20</v>
      </c>
      <c r="B13" s="826"/>
      <c r="C13" s="826"/>
      <c r="D13" s="826"/>
      <c r="E13" s="826"/>
      <c r="F13" s="826"/>
      <c r="G13" s="826"/>
      <c r="H13" s="826"/>
      <c r="I13" s="826"/>
      <c r="J13" s="826"/>
      <c r="K13" s="826"/>
      <c r="L13" s="826"/>
      <c r="M13" s="826"/>
      <c r="N13" s="92"/>
    </row>
    <row r="14" spans="1:14" s="7" customFormat="1" ht="21" thickBot="1">
      <c r="A14" s="840"/>
      <c r="B14" s="840"/>
      <c r="C14" s="840"/>
      <c r="D14" s="840"/>
      <c r="E14" s="840"/>
      <c r="F14" s="840"/>
      <c r="G14" s="840"/>
      <c r="H14" s="840"/>
      <c r="I14" s="840"/>
      <c r="J14" s="840"/>
      <c r="K14" s="840"/>
      <c r="L14" s="840"/>
      <c r="M14" s="841"/>
      <c r="N14" s="93"/>
    </row>
    <row r="15" spans="1:14" s="7" customFormat="1" ht="42" customHeight="1" thickBot="1">
      <c r="A15" s="827" t="s">
        <v>21</v>
      </c>
      <c r="B15" s="833" t="s">
        <v>339</v>
      </c>
      <c r="C15" s="8" t="s">
        <v>14</v>
      </c>
      <c r="D15" s="8">
        <v>2020</v>
      </c>
      <c r="E15" s="9">
        <f aca="true" t="shared" si="0" ref="E15:K15">E17+E18+E23+E24</f>
        <v>1128.3</v>
      </c>
      <c r="F15" s="9">
        <f t="shared" si="0"/>
        <v>0</v>
      </c>
      <c r="G15" s="9">
        <f t="shared" si="0"/>
        <v>1117</v>
      </c>
      <c r="H15" s="9">
        <f t="shared" si="0"/>
        <v>1094.7</v>
      </c>
      <c r="I15" s="9">
        <f t="shared" si="0"/>
        <v>22.3</v>
      </c>
      <c r="J15" s="534">
        <f t="shared" si="0"/>
        <v>11.299999999999997</v>
      </c>
      <c r="K15" s="9">
        <f t="shared" si="0"/>
        <v>0</v>
      </c>
      <c r="L15" s="278"/>
      <c r="M15" s="835" t="s">
        <v>335</v>
      </c>
      <c r="N15" s="294"/>
    </row>
    <row r="16" spans="1:14" s="7" customFormat="1" ht="34.5" customHeight="1" thickBot="1">
      <c r="A16" s="828"/>
      <c r="B16" s="833"/>
      <c r="C16" s="8" t="s">
        <v>22</v>
      </c>
      <c r="D16" s="8">
        <v>2021</v>
      </c>
      <c r="E16" s="9">
        <f aca="true" t="shared" si="1" ref="E16:K16">E19+E20</f>
        <v>2084.7</v>
      </c>
      <c r="F16" s="9">
        <f t="shared" si="1"/>
        <v>0</v>
      </c>
      <c r="G16" s="9">
        <f t="shared" si="1"/>
        <v>2063.7999999999997</v>
      </c>
      <c r="H16" s="9">
        <f t="shared" si="1"/>
        <v>2063.7999999999997</v>
      </c>
      <c r="I16" s="9">
        <f t="shared" si="1"/>
        <v>0</v>
      </c>
      <c r="J16" s="534">
        <f t="shared" si="1"/>
        <v>20.9</v>
      </c>
      <c r="K16" s="9">
        <f t="shared" si="1"/>
        <v>0</v>
      </c>
      <c r="L16" s="279"/>
      <c r="M16" s="835"/>
      <c r="N16" s="294"/>
    </row>
    <row r="17" spans="1:14" s="7" customFormat="1" ht="45" customHeight="1">
      <c r="A17" s="828"/>
      <c r="B17" s="833"/>
      <c r="C17" s="247" t="s">
        <v>77</v>
      </c>
      <c r="D17" s="94">
        <v>2020</v>
      </c>
      <c r="E17" s="95">
        <f aca="true" t="shared" si="2" ref="E17:E24">F17+G17+J17+K17</f>
        <v>0</v>
      </c>
      <c r="F17" s="9"/>
      <c r="G17" s="95">
        <f aca="true" t="shared" si="3" ref="G17:G24">H17+I17</f>
        <v>0</v>
      </c>
      <c r="H17" s="95">
        <f>557-557</f>
        <v>0</v>
      </c>
      <c r="I17" s="95">
        <v>0</v>
      </c>
      <c r="J17" s="534">
        <f>83.33-83.33</f>
        <v>0</v>
      </c>
      <c r="K17" s="254">
        <v>0</v>
      </c>
      <c r="L17" s="280" t="s">
        <v>77</v>
      </c>
      <c r="M17" s="835"/>
      <c r="N17" s="294"/>
    </row>
    <row r="18" spans="1:14" s="7" customFormat="1" ht="30" customHeight="1">
      <c r="A18" s="828"/>
      <c r="B18" s="834"/>
      <c r="C18" s="242" t="s">
        <v>79</v>
      </c>
      <c r="D18" s="14">
        <v>2020</v>
      </c>
      <c r="E18" s="11">
        <f t="shared" si="2"/>
        <v>1128.3</v>
      </c>
      <c r="F18" s="12"/>
      <c r="G18" s="13">
        <f t="shared" si="3"/>
        <v>1117</v>
      </c>
      <c r="H18" s="13">
        <v>1094.7</v>
      </c>
      <c r="I18" s="13">
        <v>22.3</v>
      </c>
      <c r="J18" s="532">
        <f>83.678-72.378</f>
        <v>11.299999999999997</v>
      </c>
      <c r="K18" s="255">
        <v>0</v>
      </c>
      <c r="L18" s="280" t="s">
        <v>79</v>
      </c>
      <c r="M18" s="835"/>
      <c r="N18" s="294"/>
    </row>
    <row r="19" spans="1:14" s="7" customFormat="1" ht="28.5" customHeight="1">
      <c r="A19" s="828"/>
      <c r="B19" s="834"/>
      <c r="C19" s="242" t="s">
        <v>77</v>
      </c>
      <c r="D19" s="14">
        <v>2021</v>
      </c>
      <c r="E19" s="11">
        <f t="shared" si="2"/>
        <v>2084.7</v>
      </c>
      <c r="F19" s="12"/>
      <c r="G19" s="13">
        <f t="shared" si="3"/>
        <v>2063.7999999999997</v>
      </c>
      <c r="H19" s="13">
        <f>2084.7-20.9</f>
        <v>2063.7999999999997</v>
      </c>
      <c r="I19" s="13">
        <v>0</v>
      </c>
      <c r="J19" s="532">
        <v>20.9</v>
      </c>
      <c r="K19" s="255">
        <v>0</v>
      </c>
      <c r="L19" s="280" t="s">
        <v>77</v>
      </c>
      <c r="M19" s="835"/>
      <c r="N19" s="294"/>
    </row>
    <row r="20" spans="1:14" s="7" customFormat="1" ht="24.75" customHeight="1">
      <c r="A20" s="828"/>
      <c r="B20" s="834"/>
      <c r="C20" s="242" t="s">
        <v>79</v>
      </c>
      <c r="D20" s="14">
        <v>2021</v>
      </c>
      <c r="E20" s="11">
        <f t="shared" si="2"/>
        <v>0</v>
      </c>
      <c r="F20" s="12"/>
      <c r="G20" s="13">
        <f t="shared" si="3"/>
        <v>0</v>
      </c>
      <c r="H20" s="13">
        <f>565-565</f>
        <v>0</v>
      </c>
      <c r="I20" s="13">
        <v>0</v>
      </c>
      <c r="J20" s="532">
        <v>0</v>
      </c>
      <c r="K20" s="255">
        <v>0</v>
      </c>
      <c r="L20" s="280" t="s">
        <v>79</v>
      </c>
      <c r="M20" s="835"/>
      <c r="N20" s="294"/>
    </row>
    <row r="21" spans="1:14" s="7" customFormat="1" ht="30" customHeight="1">
      <c r="A21" s="829"/>
      <c r="B21" s="834"/>
      <c r="C21" s="242" t="s">
        <v>79</v>
      </c>
      <c r="D21" s="14">
        <v>2022</v>
      </c>
      <c r="E21" s="11">
        <f t="shared" si="2"/>
        <v>0</v>
      </c>
      <c r="F21" s="12"/>
      <c r="G21" s="13">
        <f t="shared" si="3"/>
        <v>0</v>
      </c>
      <c r="H21" s="13">
        <v>0</v>
      </c>
      <c r="I21" s="13">
        <v>0</v>
      </c>
      <c r="J21" s="532">
        <v>0</v>
      </c>
      <c r="K21" s="255">
        <v>0</v>
      </c>
      <c r="L21" s="281"/>
      <c r="M21" s="835"/>
      <c r="N21" s="294"/>
    </row>
    <row r="22" spans="1:14" s="7" customFormat="1" ht="27" customHeight="1">
      <c r="A22" s="830"/>
      <c r="B22" s="834"/>
      <c r="C22" s="242" t="s">
        <v>79</v>
      </c>
      <c r="D22" s="14">
        <v>2023</v>
      </c>
      <c r="E22" s="11">
        <f t="shared" si="2"/>
        <v>0</v>
      </c>
      <c r="F22" s="12"/>
      <c r="G22" s="13">
        <f t="shared" si="3"/>
        <v>0</v>
      </c>
      <c r="H22" s="13">
        <v>0</v>
      </c>
      <c r="I22" s="13">
        <v>0</v>
      </c>
      <c r="J22" s="532">
        <v>0</v>
      </c>
      <c r="K22" s="255">
        <v>0</v>
      </c>
      <c r="L22" s="281"/>
      <c r="M22" s="835"/>
      <c r="N22" s="294"/>
    </row>
    <row r="23" spans="1:14" s="7" customFormat="1" ht="43.5" customHeight="1">
      <c r="A23" s="737" t="s">
        <v>23</v>
      </c>
      <c r="B23" s="800" t="s">
        <v>24</v>
      </c>
      <c r="C23" s="242" t="s">
        <v>77</v>
      </c>
      <c r="D23" s="14">
        <v>2020</v>
      </c>
      <c r="E23" s="11">
        <f t="shared" si="2"/>
        <v>0</v>
      </c>
      <c r="F23" s="6"/>
      <c r="G23" s="13">
        <f t="shared" si="3"/>
        <v>0</v>
      </c>
      <c r="H23" s="13">
        <v>0</v>
      </c>
      <c r="I23" s="13">
        <v>0</v>
      </c>
      <c r="J23" s="532">
        <v>0</v>
      </c>
      <c r="K23" s="255">
        <v>0</v>
      </c>
      <c r="L23" s="280" t="s">
        <v>77</v>
      </c>
      <c r="M23" s="835"/>
      <c r="N23" s="294"/>
    </row>
    <row r="24" spans="1:14" s="7" customFormat="1" ht="220.5" customHeight="1">
      <c r="A24" s="737"/>
      <c r="B24" s="800"/>
      <c r="C24" s="242" t="s">
        <v>79</v>
      </c>
      <c r="D24" s="14">
        <v>2020</v>
      </c>
      <c r="E24" s="11">
        <f t="shared" si="2"/>
        <v>0</v>
      </c>
      <c r="F24" s="6"/>
      <c r="G24" s="13">
        <f t="shared" si="3"/>
        <v>0</v>
      </c>
      <c r="H24" s="13">
        <v>0</v>
      </c>
      <c r="I24" s="13">
        <v>0</v>
      </c>
      <c r="J24" s="532">
        <v>0</v>
      </c>
      <c r="K24" s="255">
        <v>0</v>
      </c>
      <c r="L24" s="280" t="s">
        <v>79</v>
      </c>
      <c r="M24" s="835"/>
      <c r="N24" s="294"/>
    </row>
    <row r="25" spans="1:14" s="7" customFormat="1" ht="30.75" customHeight="1">
      <c r="A25" s="827" t="s">
        <v>25</v>
      </c>
      <c r="B25" s="825" t="s">
        <v>340</v>
      </c>
      <c r="C25" s="250"/>
      <c r="D25" s="155">
        <v>2021</v>
      </c>
      <c r="E25" s="97">
        <f aca="true" t="shared" si="4" ref="E25:K25">E26</f>
        <v>919.54</v>
      </c>
      <c r="F25" s="25">
        <f t="shared" si="4"/>
        <v>0</v>
      </c>
      <c r="G25" s="25">
        <f t="shared" si="4"/>
        <v>800</v>
      </c>
      <c r="H25" s="25">
        <f t="shared" si="4"/>
        <v>784</v>
      </c>
      <c r="I25" s="25">
        <f t="shared" si="4"/>
        <v>16</v>
      </c>
      <c r="J25" s="535">
        <f t="shared" si="4"/>
        <v>119.54</v>
      </c>
      <c r="K25" s="256">
        <f t="shared" si="4"/>
        <v>0</v>
      </c>
      <c r="L25" s="282"/>
      <c r="M25" s="661" t="s">
        <v>26</v>
      </c>
      <c r="N25" s="249"/>
    </row>
    <row r="26" spans="1:14" s="7" customFormat="1" ht="33" customHeight="1">
      <c r="A26" s="828"/>
      <c r="B26" s="825"/>
      <c r="C26" s="242" t="s">
        <v>79</v>
      </c>
      <c r="D26" s="155">
        <v>2021</v>
      </c>
      <c r="E26" s="11">
        <f>F26+G26+J26+K26</f>
        <v>919.54</v>
      </c>
      <c r="F26" s="12"/>
      <c r="G26" s="13">
        <f>H26+I26</f>
        <v>800</v>
      </c>
      <c r="H26" s="13">
        <v>784</v>
      </c>
      <c r="I26" s="13">
        <v>16</v>
      </c>
      <c r="J26" s="532">
        <v>119.54</v>
      </c>
      <c r="K26" s="248">
        <v>0</v>
      </c>
      <c r="L26" s="280" t="s">
        <v>79</v>
      </c>
      <c r="M26" s="661"/>
      <c r="N26" s="249"/>
    </row>
    <row r="27" spans="1:14" s="7" customFormat="1" ht="33" customHeight="1">
      <c r="A27" s="828"/>
      <c r="B27" s="825"/>
      <c r="C27" s="250"/>
      <c r="D27" s="155">
        <v>2022</v>
      </c>
      <c r="E27" s="236">
        <f aca="true" t="shared" si="5" ref="E27:K27">E28</f>
        <v>836.33</v>
      </c>
      <c r="F27" s="12">
        <f t="shared" si="5"/>
        <v>0</v>
      </c>
      <c r="G27" s="12">
        <f t="shared" si="5"/>
        <v>727.6</v>
      </c>
      <c r="H27" s="12">
        <f t="shared" si="5"/>
        <v>713</v>
      </c>
      <c r="I27" s="12">
        <f t="shared" si="5"/>
        <v>14.6</v>
      </c>
      <c r="J27" s="532">
        <f t="shared" si="5"/>
        <v>108.73</v>
      </c>
      <c r="K27" s="248">
        <f t="shared" si="5"/>
        <v>0</v>
      </c>
      <c r="L27" s="283"/>
      <c r="M27" s="661"/>
      <c r="N27" s="249"/>
    </row>
    <row r="28" spans="1:14" s="7" customFormat="1" ht="39" customHeight="1">
      <c r="A28" s="828"/>
      <c r="B28" s="825"/>
      <c r="C28" s="242" t="s">
        <v>77</v>
      </c>
      <c r="D28" s="155">
        <v>2022</v>
      </c>
      <c r="E28" s="237">
        <f>F28+G28+J28+K28</f>
        <v>836.33</v>
      </c>
      <c r="F28" s="30"/>
      <c r="G28" s="31">
        <f>H28+I28</f>
        <v>727.6</v>
      </c>
      <c r="H28" s="13">
        <v>713</v>
      </c>
      <c r="I28" s="13">
        <v>14.6</v>
      </c>
      <c r="J28" s="532">
        <v>108.73</v>
      </c>
      <c r="K28" s="248">
        <v>0</v>
      </c>
      <c r="L28" s="280" t="s">
        <v>77</v>
      </c>
      <c r="M28" s="661"/>
      <c r="N28" s="249"/>
    </row>
    <row r="29" spans="1:14" s="7" customFormat="1" ht="41.25" customHeight="1">
      <c r="A29" s="830"/>
      <c r="B29" s="825"/>
      <c r="C29" s="243"/>
      <c r="D29" s="155">
        <v>2023</v>
      </c>
      <c r="E29" s="11">
        <f>F29+G29+J29+K29</f>
        <v>0</v>
      </c>
      <c r="F29" s="12"/>
      <c r="G29" s="13">
        <f>H29+I29</f>
        <v>0</v>
      </c>
      <c r="H29" s="99">
        <v>0</v>
      </c>
      <c r="I29" s="99">
        <v>0</v>
      </c>
      <c r="J29" s="537">
        <v>0</v>
      </c>
      <c r="K29" s="583">
        <v>0</v>
      </c>
      <c r="L29" s="281"/>
      <c r="M29" s="242"/>
      <c r="N29" s="249"/>
    </row>
    <row r="30" spans="1:14" s="7" customFormat="1" ht="39.75" customHeight="1">
      <c r="A30" s="737" t="s">
        <v>27</v>
      </c>
      <c r="B30" s="819" t="s">
        <v>341</v>
      </c>
      <c r="C30" s="242" t="s">
        <v>77</v>
      </c>
      <c r="D30" s="251">
        <v>2021</v>
      </c>
      <c r="E30" s="25">
        <f>F30+G30+J30+K30</f>
        <v>0</v>
      </c>
      <c r="F30" s="25">
        <v>0</v>
      </c>
      <c r="G30" s="25">
        <f>H30+I30</f>
        <v>0</v>
      </c>
      <c r="H30" s="12">
        <v>0</v>
      </c>
      <c r="I30" s="12">
        <v>0</v>
      </c>
      <c r="J30" s="532">
        <v>0</v>
      </c>
      <c r="K30" s="248">
        <v>0</v>
      </c>
      <c r="L30" s="280" t="s">
        <v>77</v>
      </c>
      <c r="M30" s="815" t="s">
        <v>28</v>
      </c>
      <c r="N30" s="267"/>
    </row>
    <row r="31" spans="1:14" s="7" customFormat="1" ht="108.75" customHeight="1">
      <c r="A31" s="737"/>
      <c r="B31" s="819"/>
      <c r="C31" s="242" t="s">
        <v>79</v>
      </c>
      <c r="D31" s="155">
        <v>2022</v>
      </c>
      <c r="E31" s="12">
        <f>F31+G31+J31+K31</f>
        <v>0</v>
      </c>
      <c r="F31" s="12">
        <v>0</v>
      </c>
      <c r="G31" s="12">
        <f>H31+I31</f>
        <v>0</v>
      </c>
      <c r="H31" s="12">
        <v>0</v>
      </c>
      <c r="I31" s="12">
        <v>0</v>
      </c>
      <c r="J31" s="532">
        <v>0</v>
      </c>
      <c r="K31" s="248">
        <v>0</v>
      </c>
      <c r="L31" s="280" t="s">
        <v>79</v>
      </c>
      <c r="M31" s="815"/>
      <c r="N31" s="267"/>
    </row>
    <row r="32" spans="1:14" s="7" customFormat="1" ht="51.75" customHeight="1">
      <c r="A32" s="737"/>
      <c r="B32" s="819"/>
      <c r="C32" s="243"/>
      <c r="D32" s="155">
        <v>2023</v>
      </c>
      <c r="E32" s="12">
        <f>F32+G32+J32+K32</f>
        <v>0</v>
      </c>
      <c r="F32" s="12"/>
      <c r="G32" s="12">
        <f>H32+I32</f>
        <v>0</v>
      </c>
      <c r="H32" s="12">
        <v>0</v>
      </c>
      <c r="I32" s="12">
        <v>0</v>
      </c>
      <c r="J32" s="532">
        <v>0</v>
      </c>
      <c r="K32" s="248">
        <v>0</v>
      </c>
      <c r="L32" s="281"/>
      <c r="M32" s="238"/>
      <c r="N32" s="267"/>
    </row>
    <row r="33" spans="1:15" s="7" customFormat="1" ht="49.5" customHeight="1">
      <c r="A33" s="816" t="s">
        <v>29</v>
      </c>
      <c r="B33" s="817" t="s">
        <v>342</v>
      </c>
      <c r="C33" s="253"/>
      <c r="D33" s="252" t="s">
        <v>30</v>
      </c>
      <c r="E33" s="101">
        <f aca="true" t="shared" si="6" ref="E33:K33">E34+E35+E36+E37+E38+E39+E40+E41+E42</f>
        <v>3837.5</v>
      </c>
      <c r="F33" s="101">
        <f t="shared" si="6"/>
        <v>0</v>
      </c>
      <c r="G33" s="101">
        <f t="shared" si="6"/>
        <v>3799.1</v>
      </c>
      <c r="H33" s="101">
        <f t="shared" si="6"/>
        <v>3723.1</v>
      </c>
      <c r="I33" s="101">
        <f t="shared" si="6"/>
        <v>76</v>
      </c>
      <c r="J33" s="536">
        <f t="shared" si="6"/>
        <v>38.4</v>
      </c>
      <c r="K33" s="261">
        <f t="shared" si="6"/>
        <v>0</v>
      </c>
      <c r="L33" s="284"/>
      <c r="M33" s="818" t="s">
        <v>31</v>
      </c>
      <c r="N33" s="268"/>
      <c r="O33" s="647"/>
    </row>
    <row r="34" spans="1:15" s="7" customFormat="1" ht="30" customHeight="1">
      <c r="A34" s="816"/>
      <c r="B34" s="817"/>
      <c r="C34" s="242" t="s">
        <v>77</v>
      </c>
      <c r="D34" s="260" t="s">
        <v>30</v>
      </c>
      <c r="E34" s="13">
        <f aca="true" t="shared" si="7" ref="E34:E42">F34+G34+J34+K34</f>
        <v>1918.75</v>
      </c>
      <c r="F34" s="99"/>
      <c r="G34" s="13">
        <f aca="true" t="shared" si="8" ref="G34:G42">H34+I34</f>
        <v>1899.55</v>
      </c>
      <c r="H34" s="13">
        <v>1861.55</v>
      </c>
      <c r="I34" s="99">
        <v>38</v>
      </c>
      <c r="J34" s="537">
        <v>19.2</v>
      </c>
      <c r="K34" s="255">
        <v>0</v>
      </c>
      <c r="L34" s="280" t="s">
        <v>77</v>
      </c>
      <c r="M34" s="818"/>
      <c r="N34" s="268"/>
      <c r="O34" s="647"/>
    </row>
    <row r="35" spans="1:15" s="7" customFormat="1" ht="57.75" customHeight="1">
      <c r="A35" s="816"/>
      <c r="B35" s="817"/>
      <c r="C35" s="242" t="s">
        <v>79</v>
      </c>
      <c r="D35" s="260" t="s">
        <v>30</v>
      </c>
      <c r="E35" s="13">
        <f t="shared" si="7"/>
        <v>1918.75</v>
      </c>
      <c r="F35" s="102"/>
      <c r="G35" s="13">
        <f t="shared" si="8"/>
        <v>1899.55</v>
      </c>
      <c r="H35" s="13">
        <v>1861.55</v>
      </c>
      <c r="I35" s="99">
        <v>38</v>
      </c>
      <c r="J35" s="537">
        <v>19.2</v>
      </c>
      <c r="K35" s="262">
        <v>0</v>
      </c>
      <c r="L35" s="280" t="s">
        <v>79</v>
      </c>
      <c r="M35" s="818"/>
      <c r="N35" s="268"/>
      <c r="O35" s="647"/>
    </row>
    <row r="36" spans="1:15" s="7" customFormat="1" ht="149.25" customHeight="1">
      <c r="A36" s="17" t="s">
        <v>32</v>
      </c>
      <c r="B36" s="257" t="s">
        <v>33</v>
      </c>
      <c r="C36" s="242" t="s">
        <v>77</v>
      </c>
      <c r="D36" s="260" t="s">
        <v>30</v>
      </c>
      <c r="E36" s="12">
        <f t="shared" si="7"/>
        <v>0</v>
      </c>
      <c r="F36" s="101">
        <v>0</v>
      </c>
      <c r="G36" s="13">
        <f t="shared" si="8"/>
        <v>0</v>
      </c>
      <c r="H36" s="101">
        <v>0</v>
      </c>
      <c r="I36" s="101">
        <v>0</v>
      </c>
      <c r="J36" s="536">
        <v>0</v>
      </c>
      <c r="K36" s="261">
        <v>0</v>
      </c>
      <c r="L36" s="280" t="s">
        <v>77</v>
      </c>
      <c r="M36" s="818"/>
      <c r="N36" s="268"/>
      <c r="O36" s="647"/>
    </row>
    <row r="37" spans="1:15" s="7" customFormat="1" ht="105.75" customHeight="1">
      <c r="A37" s="17" t="s">
        <v>34</v>
      </c>
      <c r="B37" s="258" t="s">
        <v>35</v>
      </c>
      <c r="C37" s="242" t="s">
        <v>77</v>
      </c>
      <c r="D37" s="252" t="s">
        <v>30</v>
      </c>
      <c r="E37" s="12">
        <f t="shared" si="7"/>
        <v>0</v>
      </c>
      <c r="F37" s="101">
        <v>0</v>
      </c>
      <c r="G37" s="12">
        <f t="shared" si="8"/>
        <v>0</v>
      </c>
      <c r="H37" s="101">
        <v>0</v>
      </c>
      <c r="I37" s="101">
        <v>0</v>
      </c>
      <c r="J37" s="536">
        <v>0</v>
      </c>
      <c r="K37" s="261">
        <v>0</v>
      </c>
      <c r="L37" s="280" t="s">
        <v>77</v>
      </c>
      <c r="M37" s="818"/>
      <c r="N37" s="268"/>
      <c r="O37" s="647"/>
    </row>
    <row r="38" spans="1:15" s="7" customFormat="1" ht="114.75" customHeight="1">
      <c r="A38" s="17" t="s">
        <v>36</v>
      </c>
      <c r="B38" s="259" t="s">
        <v>37</v>
      </c>
      <c r="C38" s="242" t="s">
        <v>77</v>
      </c>
      <c r="D38" s="155">
        <v>2021</v>
      </c>
      <c r="E38" s="12">
        <f t="shared" si="7"/>
        <v>0</v>
      </c>
      <c r="F38" s="101">
        <v>0</v>
      </c>
      <c r="G38" s="12">
        <f t="shared" si="8"/>
        <v>0</v>
      </c>
      <c r="H38" s="12">
        <v>0</v>
      </c>
      <c r="I38" s="12">
        <v>0</v>
      </c>
      <c r="J38" s="532">
        <v>0</v>
      </c>
      <c r="K38" s="248">
        <v>0</v>
      </c>
      <c r="L38" s="280" t="s">
        <v>77</v>
      </c>
      <c r="M38" s="818"/>
      <c r="N38" s="268"/>
      <c r="O38" s="647"/>
    </row>
    <row r="39" spans="1:15" s="7" customFormat="1" ht="155.25" customHeight="1">
      <c r="A39" s="17" t="s">
        <v>38</v>
      </c>
      <c r="B39" s="229" t="s">
        <v>39</v>
      </c>
      <c r="C39" s="242" t="s">
        <v>77</v>
      </c>
      <c r="D39" s="155">
        <v>2021</v>
      </c>
      <c r="E39" s="12">
        <f t="shared" si="7"/>
        <v>0</v>
      </c>
      <c r="F39" s="101"/>
      <c r="G39" s="12">
        <f t="shared" si="8"/>
        <v>0</v>
      </c>
      <c r="H39" s="12">
        <v>0</v>
      </c>
      <c r="I39" s="12">
        <v>0</v>
      </c>
      <c r="J39" s="532">
        <v>0</v>
      </c>
      <c r="K39" s="248">
        <v>0</v>
      </c>
      <c r="L39" s="280" t="s">
        <v>77</v>
      </c>
      <c r="M39" s="818"/>
      <c r="N39" s="268"/>
      <c r="O39" s="647"/>
    </row>
    <row r="40" spans="1:15" s="7" customFormat="1" ht="133.5" customHeight="1">
      <c r="A40" s="17" t="s">
        <v>40</v>
      </c>
      <c r="B40" s="229" t="s">
        <v>41</v>
      </c>
      <c r="C40" s="242" t="s">
        <v>77</v>
      </c>
      <c r="D40" s="155">
        <v>2021</v>
      </c>
      <c r="E40" s="12">
        <f t="shared" si="7"/>
        <v>0</v>
      </c>
      <c r="F40" s="101"/>
      <c r="G40" s="12">
        <f t="shared" si="8"/>
        <v>0</v>
      </c>
      <c r="H40" s="12">
        <v>0</v>
      </c>
      <c r="I40" s="12">
        <v>0</v>
      </c>
      <c r="J40" s="532">
        <v>0</v>
      </c>
      <c r="K40" s="248">
        <v>0</v>
      </c>
      <c r="L40" s="282"/>
      <c r="M40" s="818"/>
      <c r="N40" s="268"/>
      <c r="O40" s="647"/>
    </row>
    <row r="41" spans="1:15" s="7" customFormat="1" ht="116.25" customHeight="1">
      <c r="A41" s="17" t="s">
        <v>42</v>
      </c>
      <c r="B41" s="259" t="s">
        <v>43</v>
      </c>
      <c r="C41" s="242" t="s">
        <v>77</v>
      </c>
      <c r="D41" s="155">
        <v>2021</v>
      </c>
      <c r="E41" s="12">
        <f t="shared" si="7"/>
        <v>0</v>
      </c>
      <c r="F41" s="101"/>
      <c r="G41" s="12">
        <f t="shared" si="8"/>
        <v>0</v>
      </c>
      <c r="H41" s="12">
        <v>0</v>
      </c>
      <c r="I41" s="12">
        <v>0</v>
      </c>
      <c r="J41" s="532">
        <v>0</v>
      </c>
      <c r="K41" s="248">
        <v>0</v>
      </c>
      <c r="L41" s="280" t="s">
        <v>77</v>
      </c>
      <c r="M41" s="818"/>
      <c r="N41" s="268"/>
      <c r="O41" s="647"/>
    </row>
    <row r="42" spans="1:15" s="7" customFormat="1" ht="144.75" customHeight="1">
      <c r="A42" s="17" t="s">
        <v>44</v>
      </c>
      <c r="B42" s="229" t="s">
        <v>45</v>
      </c>
      <c r="C42" s="242" t="s">
        <v>77</v>
      </c>
      <c r="D42" s="155">
        <v>2021</v>
      </c>
      <c r="E42" s="12">
        <f t="shared" si="7"/>
        <v>0</v>
      </c>
      <c r="F42" s="104"/>
      <c r="G42" s="12">
        <f t="shared" si="8"/>
        <v>0</v>
      </c>
      <c r="H42" s="12">
        <v>0</v>
      </c>
      <c r="I42" s="12">
        <v>0</v>
      </c>
      <c r="J42" s="532">
        <v>0</v>
      </c>
      <c r="K42" s="248">
        <v>0</v>
      </c>
      <c r="L42" s="280" t="s">
        <v>77</v>
      </c>
      <c r="M42" s="818"/>
      <c r="N42" s="268"/>
      <c r="O42" s="647"/>
    </row>
    <row r="43" spans="1:14" s="18" customFormat="1" ht="67.5" customHeight="1">
      <c r="A43" s="737" t="s">
        <v>46</v>
      </c>
      <c r="B43" s="820" t="s">
        <v>343</v>
      </c>
      <c r="C43" s="51"/>
      <c r="D43" s="4">
        <v>2021</v>
      </c>
      <c r="E43" s="12">
        <f aca="true" t="shared" si="9" ref="E43:K43">E44</f>
        <v>0</v>
      </c>
      <c r="F43" s="12">
        <f t="shared" si="9"/>
        <v>0</v>
      </c>
      <c r="G43" s="12">
        <f t="shared" si="9"/>
        <v>0</v>
      </c>
      <c r="H43" s="12">
        <f t="shared" si="9"/>
        <v>0</v>
      </c>
      <c r="I43" s="12">
        <f t="shared" si="9"/>
        <v>0</v>
      </c>
      <c r="J43" s="532">
        <f t="shared" si="9"/>
        <v>0</v>
      </c>
      <c r="K43" s="248">
        <f t="shared" si="9"/>
        <v>0</v>
      </c>
      <c r="L43" s="285"/>
      <c r="M43" s="298"/>
      <c r="N43" s="269"/>
    </row>
    <row r="44" spans="1:14" s="18" customFormat="1" ht="90.75" customHeight="1">
      <c r="A44" s="737"/>
      <c r="B44" s="820"/>
      <c r="C44" s="22" t="s">
        <v>298</v>
      </c>
      <c r="D44" s="10">
        <v>2021</v>
      </c>
      <c r="E44" s="13">
        <f>F44+G44+J44+K44</f>
        <v>0</v>
      </c>
      <c r="F44" s="13">
        <v>0</v>
      </c>
      <c r="G44" s="13">
        <v>0</v>
      </c>
      <c r="H44" s="13">
        <v>0</v>
      </c>
      <c r="I44" s="13">
        <v>0</v>
      </c>
      <c r="J44" s="532">
        <v>0</v>
      </c>
      <c r="K44" s="255">
        <v>0</v>
      </c>
      <c r="L44" s="285"/>
      <c r="M44" s="298"/>
      <c r="N44" s="269"/>
    </row>
    <row r="45" spans="1:14" s="7" customFormat="1" ht="20.25" customHeight="1">
      <c r="A45" s="808"/>
      <c r="B45" s="653" t="s">
        <v>47</v>
      </c>
      <c r="C45" s="6"/>
      <c r="D45" s="6">
        <v>2020</v>
      </c>
      <c r="E45" s="19">
        <f aca="true" t="shared" si="10" ref="E45:K45">E15</f>
        <v>1128.3</v>
      </c>
      <c r="F45" s="19">
        <f t="shared" si="10"/>
        <v>0</v>
      </c>
      <c r="G45" s="19">
        <f t="shared" si="10"/>
        <v>1117</v>
      </c>
      <c r="H45" s="19">
        <f t="shared" si="10"/>
        <v>1094.7</v>
      </c>
      <c r="I45" s="19">
        <f t="shared" si="10"/>
        <v>22.3</v>
      </c>
      <c r="J45" s="538">
        <f t="shared" si="10"/>
        <v>11.299999999999997</v>
      </c>
      <c r="K45" s="263">
        <f t="shared" si="10"/>
        <v>0</v>
      </c>
      <c r="L45" s="282"/>
      <c r="M45" s="299"/>
      <c r="N45" s="270"/>
    </row>
    <row r="46" spans="1:14" s="7" customFormat="1" ht="20.25">
      <c r="A46" s="809"/>
      <c r="B46" s="653"/>
      <c r="C46" s="6"/>
      <c r="D46" s="6">
        <v>2021</v>
      </c>
      <c r="E46" s="19">
        <f aca="true" t="shared" si="11" ref="E46:K46">E25+E30+E33+E43+E16</f>
        <v>6841.74</v>
      </c>
      <c r="F46" s="19">
        <f t="shared" si="11"/>
        <v>0</v>
      </c>
      <c r="G46" s="19">
        <f t="shared" si="11"/>
        <v>6662.9</v>
      </c>
      <c r="H46" s="19">
        <f t="shared" si="11"/>
        <v>6570.9</v>
      </c>
      <c r="I46" s="19">
        <f t="shared" si="11"/>
        <v>92</v>
      </c>
      <c r="J46" s="538">
        <f t="shared" si="11"/>
        <v>178.84</v>
      </c>
      <c r="K46" s="263">
        <f t="shared" si="11"/>
        <v>0</v>
      </c>
      <c r="L46" s="282"/>
      <c r="M46" s="299"/>
      <c r="N46" s="270"/>
    </row>
    <row r="47" spans="1:14" s="7" customFormat="1" ht="20.25">
      <c r="A47" s="809"/>
      <c r="B47" s="653"/>
      <c r="C47" s="6"/>
      <c r="D47" s="6">
        <v>2022</v>
      </c>
      <c r="E47" s="19">
        <f aca="true" t="shared" si="12" ref="E47:K47">E27+E31</f>
        <v>836.33</v>
      </c>
      <c r="F47" s="19">
        <f t="shared" si="12"/>
        <v>0</v>
      </c>
      <c r="G47" s="19">
        <f t="shared" si="12"/>
        <v>727.6</v>
      </c>
      <c r="H47" s="19">
        <f t="shared" si="12"/>
        <v>713</v>
      </c>
      <c r="I47" s="19">
        <f t="shared" si="12"/>
        <v>14.6</v>
      </c>
      <c r="J47" s="538">
        <f t="shared" si="12"/>
        <v>108.73</v>
      </c>
      <c r="K47" s="263">
        <f t="shared" si="12"/>
        <v>0</v>
      </c>
      <c r="L47" s="282"/>
      <c r="M47" s="299"/>
      <c r="N47" s="270"/>
    </row>
    <row r="48" spans="1:14" s="7" customFormat="1" ht="20.25">
      <c r="A48" s="810"/>
      <c r="B48" s="653"/>
      <c r="C48" s="6"/>
      <c r="D48" s="6">
        <v>2023</v>
      </c>
      <c r="E48" s="19">
        <f>F48+G48+J48+K48</f>
        <v>0</v>
      </c>
      <c r="F48" s="19">
        <v>0</v>
      </c>
      <c r="G48" s="19">
        <f>H48+I48</f>
        <v>0</v>
      </c>
      <c r="H48" s="19">
        <v>0</v>
      </c>
      <c r="I48" s="19">
        <v>0</v>
      </c>
      <c r="J48" s="538">
        <v>0</v>
      </c>
      <c r="K48" s="263">
        <v>0</v>
      </c>
      <c r="L48" s="282"/>
      <c r="M48" s="299"/>
      <c r="N48" s="270"/>
    </row>
    <row r="49" spans="1:14" s="7" customFormat="1" ht="25.5" customHeight="1">
      <c r="A49" s="5"/>
      <c r="B49" s="6" t="s">
        <v>48</v>
      </c>
      <c r="C49" s="6"/>
      <c r="D49" s="6"/>
      <c r="E49" s="19">
        <f aca="true" t="shared" si="13" ref="E49:K49">E45+E46+E47+E48</f>
        <v>8806.37</v>
      </c>
      <c r="F49" s="19">
        <f t="shared" si="13"/>
        <v>0</v>
      </c>
      <c r="G49" s="19">
        <f t="shared" si="13"/>
        <v>8507.5</v>
      </c>
      <c r="H49" s="19">
        <f t="shared" si="13"/>
        <v>8378.599999999999</v>
      </c>
      <c r="I49" s="19">
        <f t="shared" si="13"/>
        <v>128.9</v>
      </c>
      <c r="J49" s="538">
        <f t="shared" si="13"/>
        <v>298.87</v>
      </c>
      <c r="K49" s="263">
        <f t="shared" si="13"/>
        <v>0</v>
      </c>
      <c r="L49" s="282"/>
      <c r="M49" s="299"/>
      <c r="N49" s="270"/>
    </row>
    <row r="50" spans="1:14" ht="27.75" customHeight="1">
      <c r="A50" s="699" t="s">
        <v>49</v>
      </c>
      <c r="B50" s="814" t="s">
        <v>50</v>
      </c>
      <c r="C50" s="814"/>
      <c r="D50" s="653">
        <v>2017</v>
      </c>
      <c r="E50" s="799">
        <f>F50+G50+J50+K50</f>
        <v>0</v>
      </c>
      <c r="F50" s="799"/>
      <c r="G50" s="805">
        <f>H50+I50</f>
        <v>0</v>
      </c>
      <c r="H50" s="802"/>
      <c r="I50" s="802">
        <v>0</v>
      </c>
      <c r="J50" s="803">
        <v>0</v>
      </c>
      <c r="K50" s="804"/>
      <c r="L50" s="806" t="s">
        <v>51</v>
      </c>
      <c r="M50" s="701" t="s">
        <v>52</v>
      </c>
      <c r="N50" s="241"/>
    </row>
    <row r="51" spans="1:14" ht="23.25" customHeight="1">
      <c r="A51" s="699"/>
      <c r="B51" s="814"/>
      <c r="C51" s="814"/>
      <c r="D51" s="653"/>
      <c r="E51" s="799"/>
      <c r="F51" s="799"/>
      <c r="G51" s="805"/>
      <c r="H51" s="802"/>
      <c r="I51" s="802"/>
      <c r="J51" s="803"/>
      <c r="K51" s="804"/>
      <c r="L51" s="806"/>
      <c r="M51" s="701"/>
      <c r="N51" s="241"/>
    </row>
    <row r="52" spans="1:14" ht="30" customHeight="1">
      <c r="A52" s="699"/>
      <c r="B52" s="814"/>
      <c r="C52" s="814"/>
      <c r="D52" s="4">
        <v>2018</v>
      </c>
      <c r="E52" s="12">
        <f>F52+G52+J52+K52</f>
        <v>0</v>
      </c>
      <c r="F52" s="12"/>
      <c r="G52" s="65">
        <f>H52+I52</f>
        <v>0</v>
      </c>
      <c r="H52" s="105"/>
      <c r="I52" s="105">
        <v>0</v>
      </c>
      <c r="J52" s="533">
        <v>0</v>
      </c>
      <c r="K52" s="265"/>
      <c r="L52" s="287" t="s">
        <v>51</v>
      </c>
      <c r="M52" s="701"/>
      <c r="N52" s="241"/>
    </row>
    <row r="53" spans="1:14" ht="27.75" customHeight="1">
      <c r="A53" s="699"/>
      <c r="B53" s="814"/>
      <c r="C53" s="814"/>
      <c r="D53" s="4">
        <v>2019</v>
      </c>
      <c r="E53" s="12">
        <f>F53+G53+J53+K53</f>
        <v>0</v>
      </c>
      <c r="F53" s="65"/>
      <c r="G53" s="65">
        <f>H53+I53</f>
        <v>0</v>
      </c>
      <c r="H53" s="65"/>
      <c r="I53" s="105">
        <v>0</v>
      </c>
      <c r="J53" s="533">
        <v>0</v>
      </c>
      <c r="K53" s="265"/>
      <c r="L53" s="287" t="s">
        <v>51</v>
      </c>
      <c r="M53" s="701"/>
      <c r="N53" s="241"/>
    </row>
    <row r="54" spans="1:14" ht="30" customHeight="1">
      <c r="A54" s="699"/>
      <c r="B54" s="814"/>
      <c r="C54" s="814"/>
      <c r="D54" s="4">
        <v>2020</v>
      </c>
      <c r="E54" s="12">
        <f>F54+G54+J54+K54</f>
        <v>78.89038</v>
      </c>
      <c r="F54" s="12"/>
      <c r="G54" s="65">
        <f>H54+I54</f>
        <v>0</v>
      </c>
      <c r="H54" s="65"/>
      <c r="I54" s="105">
        <v>0</v>
      </c>
      <c r="J54" s="533">
        <f>63.89+15.00038</f>
        <v>78.89038</v>
      </c>
      <c r="K54" s="264"/>
      <c r="L54" s="286" t="s">
        <v>51</v>
      </c>
      <c r="M54" s="701"/>
      <c r="N54" s="241"/>
    </row>
    <row r="55" spans="1:14" ht="30" customHeight="1">
      <c r="A55" s="699"/>
      <c r="B55" s="814"/>
      <c r="C55" s="814"/>
      <c r="D55" s="4">
        <v>2021</v>
      </c>
      <c r="E55" s="12">
        <f>F55+G55+J55+K55</f>
        <v>0</v>
      </c>
      <c r="F55" s="12"/>
      <c r="G55" s="65">
        <f>H55+I55</f>
        <v>0</v>
      </c>
      <c r="H55" s="65"/>
      <c r="I55" s="105">
        <v>0</v>
      </c>
      <c r="J55" s="533">
        <v>0</v>
      </c>
      <c r="K55" s="264"/>
      <c r="L55" s="286" t="s">
        <v>51</v>
      </c>
      <c r="M55" s="701"/>
      <c r="N55" s="241"/>
    </row>
    <row r="56" spans="1:14" ht="33.75" customHeight="1">
      <c r="A56" s="699"/>
      <c r="B56" s="814"/>
      <c r="C56" s="814"/>
      <c r="D56" s="4">
        <v>2023</v>
      </c>
      <c r="E56" s="12">
        <v>0</v>
      </c>
      <c r="F56" s="12">
        <v>0</v>
      </c>
      <c r="G56" s="12">
        <v>0</v>
      </c>
      <c r="H56" s="12">
        <v>0</v>
      </c>
      <c r="I56" s="13">
        <v>0</v>
      </c>
      <c r="J56" s="532">
        <v>0</v>
      </c>
      <c r="K56" s="255">
        <v>0</v>
      </c>
      <c r="L56" s="286" t="s">
        <v>51</v>
      </c>
      <c r="M56" s="246"/>
      <c r="N56" s="241"/>
    </row>
    <row r="57" spans="1:14" ht="33.75" customHeight="1">
      <c r="A57" s="811"/>
      <c r="B57" s="807" t="s">
        <v>54</v>
      </c>
      <c r="C57" s="807"/>
      <c r="D57" s="4">
        <v>2017</v>
      </c>
      <c r="E57" s="12">
        <f aca="true" t="shared" si="14" ref="E57:K58">E66</f>
        <v>155.5623</v>
      </c>
      <c r="F57" s="12">
        <f t="shared" si="14"/>
        <v>0</v>
      </c>
      <c r="G57" s="12">
        <f t="shared" si="14"/>
        <v>0</v>
      </c>
      <c r="H57" s="12">
        <f t="shared" si="14"/>
        <v>0</v>
      </c>
      <c r="I57" s="12">
        <f t="shared" si="14"/>
        <v>0</v>
      </c>
      <c r="J57" s="532">
        <f t="shared" si="14"/>
        <v>155.5623</v>
      </c>
      <c r="K57" s="248">
        <f t="shared" si="14"/>
        <v>0</v>
      </c>
      <c r="L57" s="288"/>
      <c r="M57" s="300"/>
      <c r="N57" s="271"/>
    </row>
    <row r="58" spans="1:14" ht="33" customHeight="1">
      <c r="A58" s="812"/>
      <c r="B58" s="807"/>
      <c r="C58" s="807"/>
      <c r="D58" s="4">
        <v>2018</v>
      </c>
      <c r="E58" s="12">
        <f t="shared" si="14"/>
        <v>394.40002999999996</v>
      </c>
      <c r="F58" s="12">
        <f t="shared" si="14"/>
        <v>0</v>
      </c>
      <c r="G58" s="12">
        <f t="shared" si="14"/>
        <v>0</v>
      </c>
      <c r="H58" s="12">
        <f t="shared" si="14"/>
        <v>0</v>
      </c>
      <c r="I58" s="12">
        <f t="shared" si="14"/>
        <v>0</v>
      </c>
      <c r="J58" s="532">
        <f t="shared" si="14"/>
        <v>394.40002999999996</v>
      </c>
      <c r="K58" s="248">
        <f t="shared" si="14"/>
        <v>0</v>
      </c>
      <c r="L58" s="288"/>
      <c r="M58" s="300"/>
      <c r="N58" s="271"/>
    </row>
    <row r="59" spans="1:14" ht="39" customHeight="1">
      <c r="A59" s="812"/>
      <c r="B59" s="807"/>
      <c r="C59" s="807"/>
      <c r="D59" s="4">
        <v>2019</v>
      </c>
      <c r="E59" s="12">
        <f aca="true" t="shared" si="15" ref="E59:K60">E68+E75+E77</f>
        <v>236.87999999999997</v>
      </c>
      <c r="F59" s="12">
        <f t="shared" si="15"/>
        <v>0</v>
      </c>
      <c r="G59" s="12">
        <f t="shared" si="15"/>
        <v>0</v>
      </c>
      <c r="H59" s="12">
        <f t="shared" si="15"/>
        <v>0</v>
      </c>
      <c r="I59" s="12">
        <f t="shared" si="15"/>
        <v>0</v>
      </c>
      <c r="J59" s="532">
        <f t="shared" si="15"/>
        <v>236.87999999999997</v>
      </c>
      <c r="K59" s="248">
        <f t="shared" si="15"/>
        <v>0</v>
      </c>
      <c r="L59" s="288"/>
      <c r="M59" s="300"/>
      <c r="N59" s="271"/>
    </row>
    <row r="60" spans="1:14" ht="33" customHeight="1">
      <c r="A60" s="812"/>
      <c r="B60" s="807"/>
      <c r="C60" s="807"/>
      <c r="D60" s="4">
        <v>2020</v>
      </c>
      <c r="E60" s="12">
        <f t="shared" si="15"/>
        <v>156.84791999999996</v>
      </c>
      <c r="F60" s="12">
        <f t="shared" si="15"/>
        <v>0</v>
      </c>
      <c r="G60" s="12">
        <f t="shared" si="15"/>
        <v>0</v>
      </c>
      <c r="H60" s="12">
        <f t="shared" si="15"/>
        <v>0</v>
      </c>
      <c r="I60" s="12">
        <f t="shared" si="15"/>
        <v>0</v>
      </c>
      <c r="J60" s="532">
        <f t="shared" si="15"/>
        <v>156.84791999999996</v>
      </c>
      <c r="K60" s="248">
        <f t="shared" si="15"/>
        <v>0</v>
      </c>
      <c r="L60" s="288"/>
      <c r="M60" s="300"/>
      <c r="N60" s="271"/>
    </row>
    <row r="61" spans="1:14" ht="33" customHeight="1">
      <c r="A61" s="812"/>
      <c r="B61" s="807"/>
      <c r="C61" s="807"/>
      <c r="D61" s="4">
        <v>2021</v>
      </c>
      <c r="E61" s="12">
        <f>E70+E79</f>
        <v>510.9295499999999</v>
      </c>
      <c r="F61" s="12">
        <f aca="true" t="shared" si="16" ref="F61:I63">F70</f>
        <v>0</v>
      </c>
      <c r="G61" s="12">
        <f t="shared" si="16"/>
        <v>15</v>
      </c>
      <c r="H61" s="12">
        <f t="shared" si="16"/>
        <v>0</v>
      </c>
      <c r="I61" s="12">
        <f t="shared" si="16"/>
        <v>15</v>
      </c>
      <c r="J61" s="532">
        <f>J70+J79</f>
        <v>495.9295499999999</v>
      </c>
      <c r="K61" s="248">
        <f>K70</f>
        <v>0</v>
      </c>
      <c r="L61" s="288"/>
      <c r="M61" s="300"/>
      <c r="N61" s="271"/>
    </row>
    <row r="62" spans="1:14" s="368" customFormat="1" ht="30" customHeight="1">
      <c r="A62" s="812"/>
      <c r="B62" s="807"/>
      <c r="C62" s="807"/>
      <c r="D62" s="363">
        <v>2022</v>
      </c>
      <c r="E62" s="539">
        <f>E71+E80+E89+E96+E105+E115+E124</f>
        <v>407.44672</v>
      </c>
      <c r="F62" s="364">
        <f t="shared" si="16"/>
        <v>0</v>
      </c>
      <c r="G62" s="364">
        <f t="shared" si="16"/>
        <v>0</v>
      </c>
      <c r="H62" s="364">
        <f t="shared" si="16"/>
        <v>0</v>
      </c>
      <c r="I62" s="364">
        <f t="shared" si="16"/>
        <v>0</v>
      </c>
      <c r="J62" s="539">
        <f>J71+J80+J89+J96+J105+J115+J124</f>
        <v>407.44672</v>
      </c>
      <c r="K62" s="365">
        <f>K71</f>
        <v>0</v>
      </c>
      <c r="L62" s="366"/>
      <c r="M62" s="300"/>
      <c r="N62" s="367"/>
    </row>
    <row r="63" spans="1:14" ht="30" customHeight="1">
      <c r="A63" s="812"/>
      <c r="B63" s="807"/>
      <c r="C63" s="807"/>
      <c r="D63" s="51">
        <v>2023</v>
      </c>
      <c r="E63" s="25">
        <f>E72+E97+E106+E116</f>
        <v>450</v>
      </c>
      <c r="F63" s="25">
        <f t="shared" si="16"/>
        <v>0</v>
      </c>
      <c r="G63" s="25">
        <f t="shared" si="16"/>
        <v>0</v>
      </c>
      <c r="H63" s="25">
        <f t="shared" si="16"/>
        <v>0</v>
      </c>
      <c r="I63" s="25">
        <f t="shared" si="16"/>
        <v>0</v>
      </c>
      <c r="J63" s="539">
        <f>J72+J97+J106+J116</f>
        <v>450</v>
      </c>
      <c r="K63" s="256">
        <f>K72</f>
        <v>0</v>
      </c>
      <c r="L63" s="288"/>
      <c r="M63" s="300"/>
      <c r="N63" s="422"/>
    </row>
    <row r="64" spans="1:14" ht="30" customHeight="1">
      <c r="A64" s="812"/>
      <c r="B64" s="807"/>
      <c r="C64" s="807"/>
      <c r="D64" s="51">
        <v>2024</v>
      </c>
      <c r="E64" s="25">
        <f>E73+E98+E107+E117</f>
        <v>450</v>
      </c>
      <c r="F64" s="25">
        <f aca="true" t="shared" si="17" ref="F64:I65">F73</f>
        <v>0</v>
      </c>
      <c r="G64" s="25">
        <f t="shared" si="17"/>
        <v>0</v>
      </c>
      <c r="H64" s="25">
        <f t="shared" si="17"/>
        <v>0</v>
      </c>
      <c r="I64" s="25">
        <f t="shared" si="17"/>
        <v>0</v>
      </c>
      <c r="J64" s="535">
        <f>J73+J98+J107+J117</f>
        <v>450</v>
      </c>
      <c r="K64" s="256"/>
      <c r="L64" s="288"/>
      <c r="M64" s="300"/>
      <c r="N64" s="422"/>
    </row>
    <row r="65" spans="1:14" ht="30" customHeight="1">
      <c r="A65" s="813"/>
      <c r="B65" s="807"/>
      <c r="C65" s="807"/>
      <c r="D65" s="4">
        <v>2025</v>
      </c>
      <c r="E65" s="25">
        <f>E74+E99+E108+E118</f>
        <v>450</v>
      </c>
      <c r="F65" s="25">
        <f t="shared" si="17"/>
        <v>0</v>
      </c>
      <c r="G65" s="25">
        <f t="shared" si="17"/>
        <v>0</v>
      </c>
      <c r="H65" s="25">
        <f t="shared" si="17"/>
        <v>0</v>
      </c>
      <c r="I65" s="25">
        <f t="shared" si="17"/>
        <v>0</v>
      </c>
      <c r="J65" s="535">
        <f>J74+J99+J108+J118</f>
        <v>450</v>
      </c>
      <c r="K65" s="248">
        <f>K75</f>
        <v>0</v>
      </c>
      <c r="L65" s="288"/>
      <c r="M65" s="300"/>
      <c r="N65" s="271"/>
    </row>
    <row r="66" spans="1:14" ht="55.5" customHeight="1">
      <c r="A66" s="656" t="s">
        <v>53</v>
      </c>
      <c r="B66" s="867" t="s">
        <v>55</v>
      </c>
      <c r="C66" s="868"/>
      <c r="D66" s="10">
        <v>2017</v>
      </c>
      <c r="E66" s="13">
        <f aca="true" t="shared" si="18" ref="E66:E83">F66+I66+J66+K66</f>
        <v>155.5623</v>
      </c>
      <c r="F66" s="13"/>
      <c r="G66" s="13">
        <f aca="true" t="shared" si="19" ref="G66:G91">H66+I66</f>
        <v>0</v>
      </c>
      <c r="H66" s="21"/>
      <c r="I66" s="13">
        <v>0</v>
      </c>
      <c r="J66" s="532">
        <f>40+68.197-39.45+0.42+51.795+4.6003+30</f>
        <v>155.5623</v>
      </c>
      <c r="K66" s="266"/>
      <c r="L66" s="286" t="s">
        <v>56</v>
      </c>
      <c r="M66" s="701" t="s">
        <v>57</v>
      </c>
      <c r="N66" s="241"/>
    </row>
    <row r="67" spans="1:14" ht="63.75" customHeight="1">
      <c r="A67" s="657"/>
      <c r="B67" s="869"/>
      <c r="C67" s="870"/>
      <c r="D67" s="10">
        <v>2018</v>
      </c>
      <c r="E67" s="13">
        <f t="shared" si="18"/>
        <v>394.40002999999996</v>
      </c>
      <c r="F67" s="13"/>
      <c r="G67" s="13">
        <f t="shared" si="19"/>
        <v>0</v>
      </c>
      <c r="H67" s="21"/>
      <c r="I67" s="13">
        <v>0</v>
      </c>
      <c r="J67" s="532">
        <f>325-70-60+150-5.5-9.25-8.1+41.63+30.62003</f>
        <v>394.40002999999996</v>
      </c>
      <c r="K67" s="266"/>
      <c r="L67" s="286" t="s">
        <v>58</v>
      </c>
      <c r="M67" s="701"/>
      <c r="N67" s="241"/>
    </row>
    <row r="68" spans="1:14" ht="50.25" customHeight="1">
      <c r="A68" s="657"/>
      <c r="B68" s="869"/>
      <c r="C68" s="870"/>
      <c r="D68" s="10">
        <v>2019</v>
      </c>
      <c r="E68" s="13">
        <f t="shared" si="18"/>
        <v>194.37999999999997</v>
      </c>
      <c r="F68" s="13"/>
      <c r="G68" s="13">
        <f t="shared" si="19"/>
        <v>0</v>
      </c>
      <c r="H68" s="21"/>
      <c r="I68" s="13">
        <v>0</v>
      </c>
      <c r="J68" s="532">
        <f>363.78-1.1-12.25-15.357-19-61.293-19-42.5+1.1</f>
        <v>194.37999999999997</v>
      </c>
      <c r="K68" s="266"/>
      <c r="L68" s="286" t="s">
        <v>105</v>
      </c>
      <c r="M68" s="701"/>
      <c r="N68" s="241"/>
    </row>
    <row r="69" spans="1:14" ht="45" customHeight="1">
      <c r="A69" s="657"/>
      <c r="B69" s="869"/>
      <c r="C69" s="870"/>
      <c r="D69" s="10">
        <v>2020</v>
      </c>
      <c r="E69" s="13">
        <f t="shared" si="18"/>
        <v>113.44791999999995</v>
      </c>
      <c r="F69" s="13"/>
      <c r="G69" s="13">
        <f t="shared" si="19"/>
        <v>0</v>
      </c>
      <c r="H69" s="21"/>
      <c r="I69" s="13">
        <v>0</v>
      </c>
      <c r="J69" s="532">
        <f>276.53-9.9657-43.4-1.781-40-4.2-3-13.2+26.355-63.89-10.00038</f>
        <v>113.44791999999995</v>
      </c>
      <c r="K69" s="21"/>
      <c r="L69" s="289" t="s">
        <v>105</v>
      </c>
      <c r="M69" s="701"/>
      <c r="N69" s="241"/>
    </row>
    <row r="70" spans="1:14" ht="50.25" customHeight="1">
      <c r="A70" s="657"/>
      <c r="B70" s="869"/>
      <c r="C70" s="870"/>
      <c r="D70" s="10">
        <v>2021</v>
      </c>
      <c r="E70" s="13">
        <f t="shared" si="18"/>
        <v>467.1295499999999</v>
      </c>
      <c r="F70" s="13"/>
      <c r="G70" s="13">
        <f t="shared" si="19"/>
        <v>15</v>
      </c>
      <c r="H70" s="21"/>
      <c r="I70" s="13">
        <v>15</v>
      </c>
      <c r="J70" s="532">
        <f>527.87605+2.935-70.84-7.8415</f>
        <v>452.1295499999999</v>
      </c>
      <c r="K70" s="21"/>
      <c r="L70" s="244" t="s">
        <v>51</v>
      </c>
      <c r="M70" s="701"/>
      <c r="N70" s="241"/>
    </row>
    <row r="71" spans="1:14" ht="51" customHeight="1">
      <c r="A71" s="657"/>
      <c r="B71" s="869"/>
      <c r="C71" s="870"/>
      <c r="D71" s="10">
        <v>2022</v>
      </c>
      <c r="E71" s="13">
        <f t="shared" si="18"/>
        <v>164.74672</v>
      </c>
      <c r="F71" s="13"/>
      <c r="G71" s="13">
        <f t="shared" si="19"/>
        <v>0</v>
      </c>
      <c r="H71" s="21"/>
      <c r="I71" s="13">
        <v>0</v>
      </c>
      <c r="J71" s="532">
        <v>164.74672</v>
      </c>
      <c r="K71" s="21"/>
      <c r="L71" s="244" t="s">
        <v>105</v>
      </c>
      <c r="M71" s="701"/>
      <c r="N71" s="241"/>
    </row>
    <row r="72" spans="1:14" ht="33" customHeight="1">
      <c r="A72" s="657"/>
      <c r="B72" s="869"/>
      <c r="C72" s="870"/>
      <c r="D72" s="10">
        <v>2023</v>
      </c>
      <c r="E72" s="13">
        <f t="shared" si="18"/>
        <v>195</v>
      </c>
      <c r="F72" s="13"/>
      <c r="G72" s="13">
        <f t="shared" si="19"/>
        <v>0</v>
      </c>
      <c r="H72" s="21"/>
      <c r="I72" s="13">
        <v>0</v>
      </c>
      <c r="J72" s="532">
        <f>145+J81</f>
        <v>195</v>
      </c>
      <c r="K72" s="21"/>
      <c r="L72" s="286" t="s">
        <v>56</v>
      </c>
      <c r="M72" s="246"/>
      <c r="N72" s="241"/>
    </row>
    <row r="73" spans="1:14" ht="33" customHeight="1">
      <c r="A73" s="657"/>
      <c r="B73" s="869"/>
      <c r="C73" s="870"/>
      <c r="D73" s="10">
        <v>2024</v>
      </c>
      <c r="E73" s="13">
        <f t="shared" si="18"/>
        <v>195</v>
      </c>
      <c r="F73" s="13"/>
      <c r="G73" s="13">
        <f t="shared" si="19"/>
        <v>0</v>
      </c>
      <c r="H73" s="21"/>
      <c r="I73" s="13">
        <v>0</v>
      </c>
      <c r="J73" s="532">
        <f>145+J82</f>
        <v>195</v>
      </c>
      <c r="K73" s="21"/>
      <c r="L73" s="286" t="s">
        <v>56</v>
      </c>
      <c r="M73" s="423"/>
      <c r="N73" s="241"/>
    </row>
    <row r="74" spans="1:14" ht="33" customHeight="1">
      <c r="A74" s="658"/>
      <c r="B74" s="871"/>
      <c r="C74" s="872"/>
      <c r="D74" s="10">
        <v>2025</v>
      </c>
      <c r="E74" s="13">
        <f t="shared" si="18"/>
        <v>195</v>
      </c>
      <c r="F74" s="13"/>
      <c r="G74" s="13">
        <f t="shared" si="19"/>
        <v>0</v>
      </c>
      <c r="H74" s="21"/>
      <c r="I74" s="13">
        <v>0</v>
      </c>
      <c r="J74" s="532">
        <f>145+J83</f>
        <v>195</v>
      </c>
      <c r="K74" s="21"/>
      <c r="L74" s="286" t="s">
        <v>56</v>
      </c>
      <c r="M74" s="423"/>
      <c r="N74" s="241"/>
    </row>
    <row r="75" spans="1:14" ht="35.25" customHeight="1">
      <c r="A75" s="699" t="s">
        <v>336</v>
      </c>
      <c r="B75" s="745" t="s">
        <v>59</v>
      </c>
      <c r="C75" s="745"/>
      <c r="D75" s="10">
        <v>2019</v>
      </c>
      <c r="E75" s="13">
        <f t="shared" si="18"/>
        <v>0</v>
      </c>
      <c r="F75" s="13"/>
      <c r="G75" s="13">
        <f t="shared" si="19"/>
        <v>0</v>
      </c>
      <c r="H75" s="21"/>
      <c r="I75" s="13">
        <v>0</v>
      </c>
      <c r="J75" s="532">
        <v>0</v>
      </c>
      <c r="K75" s="21"/>
      <c r="L75" s="244"/>
      <c r="M75" s="246"/>
      <c r="N75" s="241"/>
    </row>
    <row r="76" spans="1:14" ht="39" customHeight="1">
      <c r="A76" s="699"/>
      <c r="B76" s="745"/>
      <c r="C76" s="745"/>
      <c r="D76" s="10">
        <v>2020</v>
      </c>
      <c r="E76" s="13">
        <f t="shared" si="18"/>
        <v>0</v>
      </c>
      <c r="F76" s="13"/>
      <c r="G76" s="13">
        <f t="shared" si="19"/>
        <v>0</v>
      </c>
      <c r="H76" s="21"/>
      <c r="I76" s="13">
        <v>0</v>
      </c>
      <c r="J76" s="532">
        <v>0</v>
      </c>
      <c r="K76" s="21"/>
      <c r="L76" s="244"/>
      <c r="M76" s="246"/>
      <c r="N76" s="241"/>
    </row>
    <row r="77" spans="1:14" ht="33.75" customHeight="1">
      <c r="A77" s="785" t="s">
        <v>60</v>
      </c>
      <c r="B77" s="730" t="s">
        <v>61</v>
      </c>
      <c r="C77" s="788"/>
      <c r="D77" s="10">
        <v>2019</v>
      </c>
      <c r="E77" s="13">
        <f t="shared" si="18"/>
        <v>42.5</v>
      </c>
      <c r="F77" s="13"/>
      <c r="G77" s="13">
        <f t="shared" si="19"/>
        <v>0</v>
      </c>
      <c r="H77" s="21"/>
      <c r="I77" s="13"/>
      <c r="J77" s="532">
        <v>42.5</v>
      </c>
      <c r="K77" s="21"/>
      <c r="L77" s="244" t="s">
        <v>299</v>
      </c>
      <c r="M77" s="246"/>
      <c r="N77" s="241"/>
    </row>
    <row r="78" spans="1:14" ht="39.75" customHeight="1">
      <c r="A78" s="786"/>
      <c r="B78" s="789"/>
      <c r="C78" s="790"/>
      <c r="D78" s="10">
        <v>2020</v>
      </c>
      <c r="E78" s="13">
        <f t="shared" si="18"/>
        <v>43.4</v>
      </c>
      <c r="F78" s="13"/>
      <c r="G78" s="13">
        <f t="shared" si="19"/>
        <v>0</v>
      </c>
      <c r="H78" s="21"/>
      <c r="I78" s="13"/>
      <c r="J78" s="532">
        <v>43.4</v>
      </c>
      <c r="K78" s="21"/>
      <c r="L78" s="244" t="s">
        <v>299</v>
      </c>
      <c r="M78" s="246"/>
      <c r="N78" s="241"/>
    </row>
    <row r="79" spans="1:14" ht="24.75" customHeight="1">
      <c r="A79" s="786"/>
      <c r="B79" s="789"/>
      <c r="C79" s="790"/>
      <c r="D79" s="10">
        <v>2021</v>
      </c>
      <c r="E79" s="13">
        <f t="shared" si="18"/>
        <v>43.8</v>
      </c>
      <c r="F79" s="13"/>
      <c r="G79" s="13">
        <f t="shared" si="19"/>
        <v>0</v>
      </c>
      <c r="H79" s="21"/>
      <c r="I79" s="13"/>
      <c r="J79" s="532">
        <v>43.8</v>
      </c>
      <c r="K79" s="21"/>
      <c r="L79" s="244"/>
      <c r="M79" s="246"/>
      <c r="N79" s="241"/>
    </row>
    <row r="80" spans="1:14" ht="24.75" customHeight="1">
      <c r="A80" s="786"/>
      <c r="B80" s="789"/>
      <c r="C80" s="790"/>
      <c r="D80" s="10">
        <v>2022</v>
      </c>
      <c r="E80" s="13">
        <f t="shared" si="18"/>
        <v>47.4</v>
      </c>
      <c r="F80" s="13"/>
      <c r="G80" s="13">
        <f t="shared" si="19"/>
        <v>0</v>
      </c>
      <c r="H80" s="21"/>
      <c r="I80" s="13"/>
      <c r="J80" s="532">
        <v>47.4</v>
      </c>
      <c r="K80" s="21"/>
      <c r="L80" s="244"/>
      <c r="M80" s="246"/>
      <c r="N80" s="241"/>
    </row>
    <row r="81" spans="1:14" ht="24.75" customHeight="1">
      <c r="A81" s="786"/>
      <c r="B81" s="789"/>
      <c r="C81" s="790"/>
      <c r="D81" s="10">
        <v>2023</v>
      </c>
      <c r="E81" s="13">
        <f t="shared" si="18"/>
        <v>50</v>
      </c>
      <c r="F81" s="13"/>
      <c r="G81" s="13">
        <f t="shared" si="19"/>
        <v>0</v>
      </c>
      <c r="H81" s="21"/>
      <c r="I81" s="13"/>
      <c r="J81" s="532">
        <v>50</v>
      </c>
      <c r="K81" s="21"/>
      <c r="L81" s="244"/>
      <c r="M81" s="246"/>
      <c r="N81" s="241"/>
    </row>
    <row r="82" spans="1:14" ht="24.75" customHeight="1">
      <c r="A82" s="787"/>
      <c r="B82" s="791"/>
      <c r="C82" s="792"/>
      <c r="D82" s="10">
        <v>2024</v>
      </c>
      <c r="E82" s="13">
        <f t="shared" si="18"/>
        <v>50</v>
      </c>
      <c r="F82" s="13"/>
      <c r="G82" s="13">
        <f t="shared" si="19"/>
        <v>0</v>
      </c>
      <c r="H82" s="21"/>
      <c r="I82" s="13"/>
      <c r="J82" s="532">
        <v>50</v>
      </c>
      <c r="K82" s="21"/>
      <c r="L82" s="244"/>
      <c r="M82" s="246"/>
      <c r="N82" s="241"/>
    </row>
    <row r="83" spans="1:14" ht="24.75" customHeight="1">
      <c r="A83" s="658"/>
      <c r="B83" s="793"/>
      <c r="C83" s="794"/>
      <c r="D83" s="10">
        <v>2025</v>
      </c>
      <c r="E83" s="13">
        <f t="shared" si="18"/>
        <v>50</v>
      </c>
      <c r="F83" s="13"/>
      <c r="G83" s="13">
        <f t="shared" si="19"/>
        <v>0</v>
      </c>
      <c r="H83" s="21"/>
      <c r="I83" s="13"/>
      <c r="J83" s="532">
        <v>50</v>
      </c>
      <c r="K83" s="21"/>
      <c r="L83" s="244"/>
      <c r="M83" s="246"/>
      <c r="N83" s="241"/>
    </row>
    <row r="84" spans="1:14" ht="24.75" customHeight="1">
      <c r="A84" s="699" t="s">
        <v>62</v>
      </c>
      <c r="B84" s="745" t="s">
        <v>63</v>
      </c>
      <c r="C84" s="745"/>
      <c r="D84" s="4">
        <v>2017</v>
      </c>
      <c r="E84" s="108">
        <f aca="true" t="shared" si="20" ref="E84:E90">F84+G84+J84+K84</f>
        <v>11</v>
      </c>
      <c r="F84" s="108"/>
      <c r="G84" s="109">
        <f t="shared" si="19"/>
        <v>0</v>
      </c>
      <c r="H84" s="110"/>
      <c r="I84" s="111">
        <v>0</v>
      </c>
      <c r="J84" s="533">
        <f>11</f>
        <v>11</v>
      </c>
      <c r="K84" s="109"/>
      <c r="L84" s="244" t="s">
        <v>64</v>
      </c>
      <c r="M84" s="701" t="s">
        <v>65</v>
      </c>
      <c r="N84" s="241"/>
    </row>
    <row r="85" spans="1:14" ht="24.75" customHeight="1">
      <c r="A85" s="699"/>
      <c r="B85" s="745"/>
      <c r="C85" s="745"/>
      <c r="D85" s="4">
        <v>2018</v>
      </c>
      <c r="E85" s="108">
        <f t="shared" si="20"/>
        <v>0</v>
      </c>
      <c r="F85" s="108"/>
      <c r="G85" s="109">
        <f t="shared" si="19"/>
        <v>0</v>
      </c>
      <c r="H85" s="110"/>
      <c r="I85" s="111">
        <v>0</v>
      </c>
      <c r="J85" s="533">
        <v>0</v>
      </c>
      <c r="K85" s="109"/>
      <c r="L85" s="244" t="s">
        <v>66</v>
      </c>
      <c r="M85" s="701"/>
      <c r="N85" s="241"/>
    </row>
    <row r="86" spans="1:14" ht="24.75" customHeight="1">
      <c r="A86" s="699"/>
      <c r="B86" s="745"/>
      <c r="C86" s="745"/>
      <c r="D86" s="4">
        <v>2019</v>
      </c>
      <c r="E86" s="108">
        <f t="shared" si="20"/>
        <v>0</v>
      </c>
      <c r="F86" s="108"/>
      <c r="G86" s="109">
        <f t="shared" si="19"/>
        <v>0</v>
      </c>
      <c r="H86" s="110"/>
      <c r="I86" s="111">
        <v>0</v>
      </c>
      <c r="J86" s="533">
        <v>0</v>
      </c>
      <c r="K86" s="109"/>
      <c r="L86" s="244" t="s">
        <v>66</v>
      </c>
      <c r="M86" s="701"/>
      <c r="N86" s="241"/>
    </row>
    <row r="87" spans="1:14" ht="24.75" customHeight="1">
      <c r="A87" s="699"/>
      <c r="B87" s="745"/>
      <c r="C87" s="745"/>
      <c r="D87" s="4">
        <v>2020</v>
      </c>
      <c r="E87" s="108">
        <f t="shared" si="20"/>
        <v>0</v>
      </c>
      <c r="F87" s="108"/>
      <c r="G87" s="109">
        <f t="shared" si="19"/>
        <v>0</v>
      </c>
      <c r="H87" s="110"/>
      <c r="I87" s="111">
        <v>0</v>
      </c>
      <c r="J87" s="533">
        <v>0</v>
      </c>
      <c r="K87" s="109"/>
      <c r="L87" s="244" t="s">
        <v>66</v>
      </c>
      <c r="M87" s="701"/>
      <c r="N87" s="241"/>
    </row>
    <row r="88" spans="1:14" ht="24.75" customHeight="1">
      <c r="A88" s="699"/>
      <c r="B88" s="745"/>
      <c r="C88" s="745"/>
      <c r="D88" s="4">
        <v>2021</v>
      </c>
      <c r="E88" s="108">
        <f t="shared" si="20"/>
        <v>7</v>
      </c>
      <c r="F88" s="108"/>
      <c r="G88" s="109">
        <f t="shared" si="19"/>
        <v>0</v>
      </c>
      <c r="H88" s="110"/>
      <c r="I88" s="111">
        <v>0</v>
      </c>
      <c r="J88" s="533">
        <v>7</v>
      </c>
      <c r="K88" s="109"/>
      <c r="L88" s="244" t="s">
        <v>66</v>
      </c>
      <c r="M88" s="701"/>
      <c r="N88" s="241"/>
    </row>
    <row r="89" spans="1:14" ht="22.5" customHeight="1">
      <c r="A89" s="699"/>
      <c r="B89" s="745"/>
      <c r="C89" s="745"/>
      <c r="D89" s="4">
        <v>2022</v>
      </c>
      <c r="E89" s="108">
        <f t="shared" si="20"/>
        <v>0</v>
      </c>
      <c r="F89" s="108"/>
      <c r="G89" s="109">
        <f t="shared" si="19"/>
        <v>0</v>
      </c>
      <c r="H89" s="110"/>
      <c r="I89" s="111">
        <v>0</v>
      </c>
      <c r="J89" s="533">
        <v>0</v>
      </c>
      <c r="K89" s="109"/>
      <c r="L89" s="244" t="s">
        <v>66</v>
      </c>
      <c r="M89" s="701"/>
      <c r="N89" s="241"/>
    </row>
    <row r="90" spans="1:14" ht="41.25" customHeight="1">
      <c r="A90" s="785" t="s">
        <v>67</v>
      </c>
      <c r="B90" s="873" t="s">
        <v>68</v>
      </c>
      <c r="C90" s="874"/>
      <c r="D90" s="4">
        <v>2017</v>
      </c>
      <c r="E90" s="12">
        <f t="shared" si="20"/>
        <v>34.265</v>
      </c>
      <c r="F90" s="12"/>
      <c r="G90" s="13">
        <f t="shared" si="19"/>
        <v>0</v>
      </c>
      <c r="H90" s="13"/>
      <c r="I90" s="13">
        <v>0</v>
      </c>
      <c r="J90" s="532">
        <f>100-13.94-51.795</f>
        <v>34.265</v>
      </c>
      <c r="K90" s="13"/>
      <c r="L90" s="244" t="s">
        <v>51</v>
      </c>
      <c r="M90" s="701" t="s">
        <v>334</v>
      </c>
      <c r="N90" s="241"/>
    </row>
    <row r="91" spans="1:14" ht="21.75" customHeight="1">
      <c r="A91" s="786"/>
      <c r="B91" s="875"/>
      <c r="C91" s="876"/>
      <c r="D91" s="653">
        <v>2018</v>
      </c>
      <c r="E91" s="799">
        <f>F91+G91+J91+K92</f>
        <v>22.85</v>
      </c>
      <c r="F91" s="799"/>
      <c r="G91" s="802">
        <f t="shared" si="19"/>
        <v>0</v>
      </c>
      <c r="H91" s="802"/>
      <c r="I91" s="802">
        <v>0</v>
      </c>
      <c r="J91" s="803">
        <f>5.5+9.25+8.1</f>
        <v>22.85</v>
      </c>
      <c r="K91" s="802"/>
      <c r="L91" s="800" t="s">
        <v>51</v>
      </c>
      <c r="M91" s="701"/>
      <c r="N91" s="241"/>
    </row>
    <row r="92" spans="1:14" ht="18.75" customHeight="1">
      <c r="A92" s="786"/>
      <c r="B92" s="875"/>
      <c r="C92" s="876"/>
      <c r="D92" s="653"/>
      <c r="E92" s="799"/>
      <c r="F92" s="799"/>
      <c r="G92" s="802"/>
      <c r="H92" s="802"/>
      <c r="I92" s="802"/>
      <c r="J92" s="803"/>
      <c r="K92" s="802"/>
      <c r="L92" s="800"/>
      <c r="M92" s="701"/>
      <c r="N92" s="241"/>
    </row>
    <row r="93" spans="1:14" ht="54" customHeight="1">
      <c r="A93" s="786"/>
      <c r="B93" s="875"/>
      <c r="C93" s="876"/>
      <c r="D93" s="4">
        <v>2019</v>
      </c>
      <c r="E93" s="12">
        <f aca="true" t="shared" si="21" ref="E93:E109">F93+G93+J93+K93</f>
        <v>35.1</v>
      </c>
      <c r="F93" s="13"/>
      <c r="G93" s="13">
        <f aca="true" t="shared" si="22" ref="G93:G109">H93+I93</f>
        <v>0</v>
      </c>
      <c r="H93" s="13"/>
      <c r="I93" s="13">
        <v>0</v>
      </c>
      <c r="J93" s="532">
        <f>22.85+12.25</f>
        <v>35.1</v>
      </c>
      <c r="K93" s="21"/>
      <c r="L93" s="244" t="s">
        <v>51</v>
      </c>
      <c r="M93" s="701"/>
      <c r="N93" s="241"/>
    </row>
    <row r="94" spans="1:14" ht="36.75" customHeight="1">
      <c r="A94" s="786"/>
      <c r="B94" s="875"/>
      <c r="C94" s="876"/>
      <c r="D94" s="4">
        <v>2020</v>
      </c>
      <c r="E94" s="12">
        <f t="shared" si="21"/>
        <v>65.4657</v>
      </c>
      <c r="F94" s="13"/>
      <c r="G94" s="13">
        <f t="shared" si="22"/>
        <v>0</v>
      </c>
      <c r="H94" s="13"/>
      <c r="I94" s="13">
        <v>0</v>
      </c>
      <c r="J94" s="532">
        <f>35.1+9.9657+4.2+3+13.2</f>
        <v>65.4657</v>
      </c>
      <c r="K94" s="21"/>
      <c r="L94" s="244" t="s">
        <v>51</v>
      </c>
      <c r="M94" s="246"/>
      <c r="N94" s="241"/>
    </row>
    <row r="95" spans="1:14" ht="34.5" customHeight="1">
      <c r="A95" s="786"/>
      <c r="B95" s="875"/>
      <c r="C95" s="876"/>
      <c r="D95" s="4">
        <v>2021</v>
      </c>
      <c r="E95" s="12">
        <f t="shared" si="21"/>
        <v>0</v>
      </c>
      <c r="F95" s="13"/>
      <c r="G95" s="13">
        <f t="shared" si="22"/>
        <v>0</v>
      </c>
      <c r="H95" s="13"/>
      <c r="I95" s="13">
        <v>0</v>
      </c>
      <c r="J95" s="532">
        <v>0</v>
      </c>
      <c r="K95" s="21"/>
      <c r="L95" s="244" t="s">
        <v>51</v>
      </c>
      <c r="M95" s="246"/>
      <c r="N95" s="241"/>
    </row>
    <row r="96" spans="1:14" ht="33.75" customHeight="1">
      <c r="A96" s="786"/>
      <c r="B96" s="875"/>
      <c r="C96" s="876"/>
      <c r="D96" s="4">
        <v>2022</v>
      </c>
      <c r="E96" s="12">
        <f t="shared" si="21"/>
        <v>25.9</v>
      </c>
      <c r="F96" s="13"/>
      <c r="G96" s="13">
        <f t="shared" si="22"/>
        <v>0</v>
      </c>
      <c r="H96" s="13"/>
      <c r="I96" s="13">
        <v>0</v>
      </c>
      <c r="J96" s="532">
        <v>25.9</v>
      </c>
      <c r="K96" s="21"/>
      <c r="L96" s="244" t="s">
        <v>51</v>
      </c>
      <c r="M96" s="246"/>
      <c r="N96" s="241"/>
    </row>
    <row r="97" spans="1:14" ht="33.75" customHeight="1">
      <c r="A97" s="786"/>
      <c r="B97" s="875"/>
      <c r="C97" s="876"/>
      <c r="D97" s="4">
        <v>2023</v>
      </c>
      <c r="E97" s="12">
        <f t="shared" si="21"/>
        <v>50</v>
      </c>
      <c r="F97" s="13"/>
      <c r="G97" s="13">
        <f t="shared" si="22"/>
        <v>0</v>
      </c>
      <c r="H97" s="13"/>
      <c r="I97" s="13">
        <v>0</v>
      </c>
      <c r="J97" s="532">
        <v>50</v>
      </c>
      <c r="K97" s="21"/>
      <c r="L97" s="244"/>
      <c r="M97" s="246"/>
      <c r="N97" s="241"/>
    </row>
    <row r="98" spans="1:14" ht="33.75" customHeight="1">
      <c r="A98" s="787"/>
      <c r="B98" s="791"/>
      <c r="C98" s="792"/>
      <c r="D98" s="4">
        <v>2024</v>
      </c>
      <c r="E98" s="12">
        <f t="shared" si="21"/>
        <v>50</v>
      </c>
      <c r="F98" s="13"/>
      <c r="G98" s="13">
        <f t="shared" si="22"/>
        <v>0</v>
      </c>
      <c r="H98" s="13"/>
      <c r="I98" s="13">
        <v>0</v>
      </c>
      <c r="J98" s="532">
        <v>50</v>
      </c>
      <c r="K98" s="21"/>
      <c r="L98" s="244"/>
      <c r="M98" s="246"/>
      <c r="N98" s="241"/>
    </row>
    <row r="99" spans="1:14" ht="33.75" customHeight="1">
      <c r="A99" s="658"/>
      <c r="B99" s="793"/>
      <c r="C99" s="794"/>
      <c r="D99" s="4">
        <v>2025</v>
      </c>
      <c r="E99" s="12">
        <f t="shared" si="21"/>
        <v>50</v>
      </c>
      <c r="F99" s="13"/>
      <c r="G99" s="13">
        <f t="shared" si="22"/>
        <v>0</v>
      </c>
      <c r="H99" s="13"/>
      <c r="I99" s="13">
        <v>0</v>
      </c>
      <c r="J99" s="532">
        <v>50</v>
      </c>
      <c r="K99" s="21"/>
      <c r="L99" s="244"/>
      <c r="M99" s="246"/>
      <c r="N99" s="241"/>
    </row>
    <row r="100" spans="1:14" ht="27.75" customHeight="1">
      <c r="A100" s="785" t="s">
        <v>69</v>
      </c>
      <c r="B100" s="730" t="s">
        <v>70</v>
      </c>
      <c r="C100" s="788"/>
      <c r="D100" s="4">
        <v>2017</v>
      </c>
      <c r="E100" s="12">
        <f t="shared" si="21"/>
        <v>65.3997</v>
      </c>
      <c r="F100" s="13"/>
      <c r="G100" s="13">
        <f t="shared" si="22"/>
        <v>0</v>
      </c>
      <c r="H100" s="21"/>
      <c r="I100" s="13">
        <v>0</v>
      </c>
      <c r="J100" s="532">
        <f>70-4.6003</f>
        <v>65.3997</v>
      </c>
      <c r="K100" s="112"/>
      <c r="L100" s="244" t="s">
        <v>64</v>
      </c>
      <c r="M100" s="701" t="s">
        <v>71</v>
      </c>
      <c r="N100" s="241"/>
    </row>
    <row r="101" spans="1:14" ht="30.75" customHeight="1">
      <c r="A101" s="786"/>
      <c r="B101" s="789"/>
      <c r="C101" s="790"/>
      <c r="D101" s="4">
        <v>2018</v>
      </c>
      <c r="E101" s="12">
        <f t="shared" si="21"/>
        <v>60</v>
      </c>
      <c r="F101" s="13"/>
      <c r="G101" s="12">
        <f t="shared" si="22"/>
        <v>0</v>
      </c>
      <c r="H101" s="112"/>
      <c r="I101" s="13">
        <v>0</v>
      </c>
      <c r="J101" s="532">
        <v>60</v>
      </c>
      <c r="K101" s="112"/>
      <c r="L101" s="244" t="s">
        <v>64</v>
      </c>
      <c r="M101" s="701"/>
      <c r="N101" s="241"/>
    </row>
    <row r="102" spans="1:14" ht="24.75" customHeight="1">
      <c r="A102" s="786"/>
      <c r="B102" s="789"/>
      <c r="C102" s="790"/>
      <c r="D102" s="4">
        <v>2019</v>
      </c>
      <c r="E102" s="12">
        <f t="shared" si="21"/>
        <v>79</v>
      </c>
      <c r="F102" s="13"/>
      <c r="G102" s="12">
        <f t="shared" si="22"/>
        <v>0</v>
      </c>
      <c r="H102" s="112"/>
      <c r="I102" s="13">
        <v>0</v>
      </c>
      <c r="J102" s="532">
        <f>60+19</f>
        <v>79</v>
      </c>
      <c r="K102" s="112"/>
      <c r="L102" s="244" t="s">
        <v>64</v>
      </c>
      <c r="M102" s="701"/>
      <c r="N102" s="241"/>
    </row>
    <row r="103" spans="1:14" ht="37.5" customHeight="1">
      <c r="A103" s="786"/>
      <c r="B103" s="789"/>
      <c r="C103" s="790"/>
      <c r="D103" s="4">
        <v>2020</v>
      </c>
      <c r="E103" s="12">
        <f t="shared" si="21"/>
        <v>101.781</v>
      </c>
      <c r="F103" s="13"/>
      <c r="G103" s="12">
        <f t="shared" si="22"/>
        <v>0</v>
      </c>
      <c r="H103" s="112"/>
      <c r="I103" s="13">
        <v>0</v>
      </c>
      <c r="J103" s="532">
        <f>60+1.781+40</f>
        <v>101.781</v>
      </c>
      <c r="K103" s="112"/>
      <c r="L103" s="244" t="s">
        <v>64</v>
      </c>
      <c r="M103" s="701"/>
      <c r="N103" s="241"/>
    </row>
    <row r="104" spans="1:14" ht="24.75" customHeight="1">
      <c r="A104" s="786"/>
      <c r="B104" s="789"/>
      <c r="C104" s="790"/>
      <c r="D104" s="4">
        <v>2021</v>
      </c>
      <c r="E104" s="12">
        <f t="shared" si="21"/>
        <v>120.84</v>
      </c>
      <c r="F104" s="13"/>
      <c r="G104" s="12">
        <f t="shared" si="22"/>
        <v>0</v>
      </c>
      <c r="H104" s="112"/>
      <c r="I104" s="13">
        <v>0</v>
      </c>
      <c r="J104" s="532">
        <f>70.84+50</f>
        <v>120.84</v>
      </c>
      <c r="K104" s="112"/>
      <c r="L104" s="244"/>
      <c r="M104" s="701"/>
      <c r="N104" s="241"/>
    </row>
    <row r="105" spans="1:14" ht="27.75" customHeight="1">
      <c r="A105" s="786"/>
      <c r="B105" s="789"/>
      <c r="C105" s="790"/>
      <c r="D105" s="4">
        <v>2022</v>
      </c>
      <c r="E105" s="12">
        <f t="shared" si="21"/>
        <v>116.9</v>
      </c>
      <c r="F105" s="13"/>
      <c r="G105" s="12">
        <f t="shared" si="22"/>
        <v>0</v>
      </c>
      <c r="H105" s="112"/>
      <c r="I105" s="13">
        <v>0</v>
      </c>
      <c r="J105" s="532">
        <v>116.9</v>
      </c>
      <c r="K105" s="112"/>
      <c r="L105" s="244" t="s">
        <v>64</v>
      </c>
      <c r="M105" s="701"/>
      <c r="N105" s="241"/>
    </row>
    <row r="106" spans="1:14" ht="24.75" customHeight="1">
      <c r="A106" s="786"/>
      <c r="B106" s="789"/>
      <c r="C106" s="790"/>
      <c r="D106" s="4">
        <v>2023</v>
      </c>
      <c r="E106" s="12">
        <f t="shared" si="21"/>
        <v>200</v>
      </c>
      <c r="F106" s="13"/>
      <c r="G106" s="12">
        <f t="shared" si="22"/>
        <v>0</v>
      </c>
      <c r="H106" s="112"/>
      <c r="I106" s="13">
        <v>0</v>
      </c>
      <c r="J106" s="532">
        <v>200</v>
      </c>
      <c r="K106" s="113"/>
      <c r="L106" s="244"/>
      <c r="M106" s="246"/>
      <c r="N106" s="241"/>
    </row>
    <row r="107" spans="1:14" ht="24.75" customHeight="1">
      <c r="A107" s="787"/>
      <c r="B107" s="791"/>
      <c r="C107" s="792"/>
      <c r="D107" s="4">
        <v>2024</v>
      </c>
      <c r="E107" s="12">
        <f t="shared" si="21"/>
        <v>200</v>
      </c>
      <c r="F107" s="13"/>
      <c r="G107" s="12">
        <f t="shared" si="22"/>
        <v>0</v>
      </c>
      <c r="H107" s="112"/>
      <c r="I107" s="13">
        <v>0</v>
      </c>
      <c r="J107" s="532">
        <v>200</v>
      </c>
      <c r="K107" s="113"/>
      <c r="L107" s="244"/>
      <c r="M107" s="246"/>
      <c r="N107" s="241"/>
    </row>
    <row r="108" spans="1:14" ht="24.75" customHeight="1">
      <c r="A108" s="658"/>
      <c r="B108" s="793"/>
      <c r="C108" s="794"/>
      <c r="D108" s="4">
        <v>2025</v>
      </c>
      <c r="E108" s="12">
        <f t="shared" si="21"/>
        <v>200</v>
      </c>
      <c r="F108" s="13"/>
      <c r="G108" s="12">
        <f t="shared" si="22"/>
        <v>0</v>
      </c>
      <c r="H108" s="112"/>
      <c r="I108" s="13">
        <v>0</v>
      </c>
      <c r="J108" s="532">
        <v>200</v>
      </c>
      <c r="K108" s="113"/>
      <c r="L108" s="244"/>
      <c r="M108" s="246"/>
      <c r="N108" s="241"/>
    </row>
    <row r="109" spans="1:14" ht="24.75" customHeight="1">
      <c r="A109" s="785" t="s">
        <v>72</v>
      </c>
      <c r="B109" s="730" t="s">
        <v>73</v>
      </c>
      <c r="C109" s="788"/>
      <c r="D109" s="653">
        <v>2017</v>
      </c>
      <c r="E109" s="799">
        <f t="shared" si="21"/>
        <v>27.52</v>
      </c>
      <c r="F109" s="802"/>
      <c r="G109" s="802">
        <f t="shared" si="22"/>
        <v>0</v>
      </c>
      <c r="H109" s="799"/>
      <c r="I109" s="802">
        <v>0</v>
      </c>
      <c r="J109" s="803">
        <v>27.52</v>
      </c>
      <c r="K109" s="799"/>
      <c r="L109" s="800" t="s">
        <v>66</v>
      </c>
      <c r="M109" s="701" t="s">
        <v>74</v>
      </c>
      <c r="N109" s="241"/>
    </row>
    <row r="110" spans="1:14" ht="16.5" customHeight="1">
      <c r="A110" s="786"/>
      <c r="B110" s="789"/>
      <c r="C110" s="790"/>
      <c r="D110" s="653"/>
      <c r="E110" s="799"/>
      <c r="F110" s="802"/>
      <c r="G110" s="802"/>
      <c r="H110" s="799"/>
      <c r="I110" s="802"/>
      <c r="J110" s="803"/>
      <c r="K110" s="799"/>
      <c r="L110" s="800"/>
      <c r="M110" s="701"/>
      <c r="N110" s="241"/>
    </row>
    <row r="111" spans="1:14" ht="28.5" customHeight="1">
      <c r="A111" s="786"/>
      <c r="B111" s="789"/>
      <c r="C111" s="790"/>
      <c r="D111" s="4">
        <v>2018</v>
      </c>
      <c r="E111" s="12">
        <f aca="true" t="shared" si="23" ref="E111:E125">F111+G111+J111+K111</f>
        <v>28.369999999999997</v>
      </c>
      <c r="F111" s="13"/>
      <c r="G111" s="13">
        <f aca="true" t="shared" si="24" ref="G111:G139">H111+I111</f>
        <v>0</v>
      </c>
      <c r="H111" s="112"/>
      <c r="I111" s="13">
        <v>0</v>
      </c>
      <c r="J111" s="532">
        <f>70-41.63</f>
        <v>28.369999999999997</v>
      </c>
      <c r="K111" s="112"/>
      <c r="L111" s="244" t="s">
        <v>66</v>
      </c>
      <c r="M111" s="701"/>
      <c r="N111" s="241"/>
    </row>
    <row r="112" spans="1:14" ht="30.75" customHeight="1">
      <c r="A112" s="786"/>
      <c r="B112" s="789"/>
      <c r="C112" s="790"/>
      <c r="D112" s="4">
        <v>2019</v>
      </c>
      <c r="E112" s="12">
        <f t="shared" si="23"/>
        <v>28.37</v>
      </c>
      <c r="F112" s="13"/>
      <c r="G112" s="13">
        <f t="shared" si="24"/>
        <v>0</v>
      </c>
      <c r="H112" s="112"/>
      <c r="I112" s="13">
        <v>0</v>
      </c>
      <c r="J112" s="532">
        <v>28.37</v>
      </c>
      <c r="K112" s="112"/>
      <c r="L112" s="244" t="s">
        <v>66</v>
      </c>
      <c r="M112" s="701"/>
      <c r="N112" s="241"/>
    </row>
    <row r="113" spans="1:14" ht="29.25" customHeight="1">
      <c r="A113" s="786"/>
      <c r="B113" s="789"/>
      <c r="C113" s="790"/>
      <c r="D113" s="4">
        <v>2020</v>
      </c>
      <c r="E113" s="12">
        <f t="shared" si="23"/>
        <v>2.0150000000000006</v>
      </c>
      <c r="F113" s="13"/>
      <c r="G113" s="13">
        <f t="shared" si="24"/>
        <v>0</v>
      </c>
      <c r="H113" s="112"/>
      <c r="I113" s="13">
        <v>0</v>
      </c>
      <c r="J113" s="532">
        <f>28.37-26.355</f>
        <v>2.0150000000000006</v>
      </c>
      <c r="K113" s="112"/>
      <c r="L113" s="244" t="s">
        <v>66</v>
      </c>
      <c r="M113" s="701"/>
      <c r="N113" s="241"/>
    </row>
    <row r="114" spans="1:14" ht="31.5" customHeight="1">
      <c r="A114" s="786"/>
      <c r="B114" s="789"/>
      <c r="C114" s="790"/>
      <c r="D114" s="4">
        <v>2021</v>
      </c>
      <c r="E114" s="12">
        <f t="shared" si="23"/>
        <v>0</v>
      </c>
      <c r="F114" s="13"/>
      <c r="G114" s="13">
        <f t="shared" si="24"/>
        <v>0</v>
      </c>
      <c r="H114" s="112"/>
      <c r="I114" s="13">
        <v>0</v>
      </c>
      <c r="J114" s="532">
        <v>0</v>
      </c>
      <c r="K114" s="112"/>
      <c r="L114" s="244" t="s">
        <v>66</v>
      </c>
      <c r="M114" s="701"/>
      <c r="N114" s="241"/>
    </row>
    <row r="115" spans="1:14" ht="32.25" customHeight="1">
      <c r="A115" s="786"/>
      <c r="B115" s="789"/>
      <c r="C115" s="790"/>
      <c r="D115" s="4">
        <v>2022</v>
      </c>
      <c r="E115" s="12">
        <f t="shared" si="23"/>
        <v>2.5</v>
      </c>
      <c r="F115" s="13"/>
      <c r="G115" s="13">
        <f t="shared" si="24"/>
        <v>0</v>
      </c>
      <c r="H115" s="112"/>
      <c r="I115" s="13">
        <v>0</v>
      </c>
      <c r="J115" s="532">
        <v>2.5</v>
      </c>
      <c r="K115" s="112"/>
      <c r="L115" s="244" t="s">
        <v>66</v>
      </c>
      <c r="M115" s="701"/>
      <c r="N115" s="241"/>
    </row>
    <row r="116" spans="1:14" ht="24.75" customHeight="1">
      <c r="A116" s="786"/>
      <c r="B116" s="789"/>
      <c r="C116" s="790"/>
      <c r="D116" s="4">
        <v>2023</v>
      </c>
      <c r="E116" s="12">
        <f t="shared" si="23"/>
        <v>5</v>
      </c>
      <c r="F116" s="13"/>
      <c r="G116" s="13">
        <f t="shared" si="24"/>
        <v>0</v>
      </c>
      <c r="H116" s="112"/>
      <c r="I116" s="13">
        <v>0</v>
      </c>
      <c r="J116" s="532">
        <v>5</v>
      </c>
      <c r="K116" s="112"/>
      <c r="L116" s="244"/>
      <c r="M116" s="246"/>
      <c r="N116" s="241"/>
    </row>
    <row r="117" spans="1:14" ht="24.75" customHeight="1">
      <c r="A117" s="787"/>
      <c r="B117" s="791"/>
      <c r="C117" s="792"/>
      <c r="D117" s="4">
        <v>2024</v>
      </c>
      <c r="E117" s="12">
        <f t="shared" si="23"/>
        <v>5</v>
      </c>
      <c r="F117" s="13"/>
      <c r="G117" s="13">
        <f t="shared" si="24"/>
        <v>0</v>
      </c>
      <c r="H117" s="112"/>
      <c r="I117" s="13">
        <v>0</v>
      </c>
      <c r="J117" s="532">
        <v>5</v>
      </c>
      <c r="K117" s="112"/>
      <c r="L117" s="244"/>
      <c r="M117" s="246"/>
      <c r="N117" s="241"/>
    </row>
    <row r="118" spans="1:14" ht="24.75" customHeight="1">
      <c r="A118" s="658"/>
      <c r="B118" s="793"/>
      <c r="C118" s="794"/>
      <c r="D118" s="4">
        <v>2025</v>
      </c>
      <c r="E118" s="12">
        <f t="shared" si="23"/>
        <v>5</v>
      </c>
      <c r="F118" s="13"/>
      <c r="G118" s="13">
        <f t="shared" si="24"/>
        <v>0</v>
      </c>
      <c r="H118" s="112"/>
      <c r="I118" s="13">
        <v>0</v>
      </c>
      <c r="J118" s="532">
        <v>5</v>
      </c>
      <c r="K118" s="112"/>
      <c r="L118" s="244"/>
      <c r="M118" s="246"/>
      <c r="N118" s="241"/>
    </row>
    <row r="119" spans="1:14" ht="24.75" customHeight="1">
      <c r="A119" s="785" t="s">
        <v>75</v>
      </c>
      <c r="B119" s="801" t="s">
        <v>76</v>
      </c>
      <c r="C119" s="801"/>
      <c r="D119" s="4">
        <v>2017</v>
      </c>
      <c r="E119" s="12">
        <f t="shared" si="23"/>
        <v>50</v>
      </c>
      <c r="F119" s="13"/>
      <c r="G119" s="13">
        <f t="shared" si="24"/>
        <v>50</v>
      </c>
      <c r="H119" s="114"/>
      <c r="I119" s="42">
        <v>50</v>
      </c>
      <c r="J119" s="532">
        <v>0</v>
      </c>
      <c r="K119" s="115"/>
      <c r="L119" s="244" t="s">
        <v>77</v>
      </c>
      <c r="M119" s="651" t="s">
        <v>78</v>
      </c>
      <c r="N119" s="295"/>
    </row>
    <row r="120" spans="1:14" ht="24.75" customHeight="1">
      <c r="A120" s="785"/>
      <c r="B120" s="801"/>
      <c r="C120" s="801"/>
      <c r="D120" s="4">
        <v>2018</v>
      </c>
      <c r="E120" s="12">
        <f t="shared" si="23"/>
        <v>0</v>
      </c>
      <c r="F120" s="13"/>
      <c r="G120" s="13">
        <f t="shared" si="24"/>
        <v>0</v>
      </c>
      <c r="H120" s="13"/>
      <c r="I120" s="13">
        <v>0</v>
      </c>
      <c r="J120" s="532">
        <v>0</v>
      </c>
      <c r="K120" s="115"/>
      <c r="L120" s="244"/>
      <c r="M120" s="651"/>
      <c r="N120" s="295"/>
    </row>
    <row r="121" spans="1:14" ht="24.75" customHeight="1">
      <c r="A121" s="785"/>
      <c r="B121" s="801"/>
      <c r="C121" s="801"/>
      <c r="D121" s="4">
        <v>2019</v>
      </c>
      <c r="E121" s="12">
        <f t="shared" si="23"/>
        <v>50</v>
      </c>
      <c r="F121" s="13"/>
      <c r="G121" s="13">
        <f t="shared" si="24"/>
        <v>50</v>
      </c>
      <c r="H121" s="13"/>
      <c r="I121" s="13">
        <v>50</v>
      </c>
      <c r="J121" s="532">
        <v>0</v>
      </c>
      <c r="K121" s="115"/>
      <c r="L121" s="244" t="s">
        <v>79</v>
      </c>
      <c r="M121" s="651"/>
      <c r="N121" s="295"/>
    </row>
    <row r="122" spans="1:14" ht="24.75" customHeight="1">
      <c r="A122" s="785"/>
      <c r="B122" s="801"/>
      <c r="C122" s="801"/>
      <c r="D122" s="4">
        <v>2020</v>
      </c>
      <c r="E122" s="12">
        <f t="shared" si="23"/>
        <v>0</v>
      </c>
      <c r="F122" s="13"/>
      <c r="G122" s="13">
        <f t="shared" si="24"/>
        <v>0</v>
      </c>
      <c r="H122" s="13"/>
      <c r="I122" s="13">
        <v>0</v>
      </c>
      <c r="J122" s="532">
        <v>0</v>
      </c>
      <c r="K122" s="115"/>
      <c r="L122" s="244"/>
      <c r="M122" s="651"/>
      <c r="N122" s="295"/>
    </row>
    <row r="123" spans="1:14" ht="24.75" customHeight="1">
      <c r="A123" s="785"/>
      <c r="B123" s="801"/>
      <c r="C123" s="801"/>
      <c r="D123" s="4">
        <v>2021</v>
      </c>
      <c r="E123" s="12">
        <f t="shared" si="23"/>
        <v>0</v>
      </c>
      <c r="F123" s="13"/>
      <c r="G123" s="13">
        <f t="shared" si="24"/>
        <v>0</v>
      </c>
      <c r="H123" s="13"/>
      <c r="I123" s="13">
        <v>0</v>
      </c>
      <c r="J123" s="532">
        <v>0</v>
      </c>
      <c r="K123" s="115"/>
      <c r="L123" s="244"/>
      <c r="M123" s="651"/>
      <c r="N123" s="295"/>
    </row>
    <row r="124" spans="1:14" ht="24.75" customHeight="1">
      <c r="A124" s="634"/>
      <c r="B124" s="635"/>
      <c r="C124" s="635"/>
      <c r="D124" s="4">
        <v>2022</v>
      </c>
      <c r="E124" s="12">
        <f>F124+G124+J124+K124</f>
        <v>50</v>
      </c>
      <c r="F124" s="13"/>
      <c r="G124" s="13">
        <f>H124+I124</f>
        <v>0</v>
      </c>
      <c r="H124" s="13"/>
      <c r="I124" s="13">
        <v>0</v>
      </c>
      <c r="J124" s="532">
        <v>50</v>
      </c>
      <c r="K124" s="115"/>
      <c r="L124" s="244"/>
      <c r="M124" s="386"/>
      <c r="N124" s="295"/>
    </row>
    <row r="125" spans="1:14" ht="30.75" customHeight="1" thickBot="1">
      <c r="A125" s="842" t="s">
        <v>80</v>
      </c>
      <c r="B125" s="795" t="s">
        <v>81</v>
      </c>
      <c r="C125" s="795"/>
      <c r="D125" s="773">
        <v>2017</v>
      </c>
      <c r="E125" s="784">
        <f t="shared" si="23"/>
        <v>627.047</v>
      </c>
      <c r="F125" s="424"/>
      <c r="G125" s="116">
        <f t="shared" si="24"/>
        <v>0</v>
      </c>
      <c r="H125" s="425">
        <f>H126+H127+H128+H129+H130+H131</f>
        <v>0</v>
      </c>
      <c r="I125" s="116">
        <f>I126+I127+I128+I129+I130+I131</f>
        <v>0</v>
      </c>
      <c r="J125" s="540">
        <f>J126+J127+J128+J129+J130+J131</f>
        <v>627.047</v>
      </c>
      <c r="K125" s="116">
        <f>K126+K127+K128+K129+K130+K131</f>
        <v>0</v>
      </c>
      <c r="L125" s="426"/>
      <c r="M125" s="855" t="s">
        <v>82</v>
      </c>
      <c r="N125" s="241"/>
    </row>
    <row r="126" spans="1:14" ht="39.75" customHeight="1" thickBot="1">
      <c r="A126" s="843"/>
      <c r="B126" s="796"/>
      <c r="C126" s="796"/>
      <c r="D126" s="773"/>
      <c r="E126" s="784"/>
      <c r="F126" s="25"/>
      <c r="G126" s="25">
        <f t="shared" si="24"/>
        <v>0</v>
      </c>
      <c r="H126" s="25"/>
      <c r="I126" s="26"/>
      <c r="J126" s="535">
        <f>50+13.94</f>
        <v>63.94</v>
      </c>
      <c r="K126" s="427"/>
      <c r="L126" s="289" t="s">
        <v>301</v>
      </c>
      <c r="M126" s="856"/>
      <c r="N126" s="241"/>
    </row>
    <row r="127" spans="1:14" ht="24.75" customHeight="1" thickBot="1">
      <c r="A127" s="843"/>
      <c r="B127" s="796"/>
      <c r="C127" s="796"/>
      <c r="D127" s="773"/>
      <c r="E127" s="784"/>
      <c r="F127" s="12"/>
      <c r="G127" s="12">
        <f t="shared" si="24"/>
        <v>0</v>
      </c>
      <c r="H127" s="112"/>
      <c r="I127" s="13"/>
      <c r="J127" s="532">
        <v>113.23</v>
      </c>
      <c r="K127" s="112"/>
      <c r="L127" s="244" t="s">
        <v>83</v>
      </c>
      <c r="M127" s="856"/>
      <c r="N127" s="241"/>
    </row>
    <row r="128" spans="1:14" ht="24.75" customHeight="1" thickBot="1">
      <c r="A128" s="843"/>
      <c r="B128" s="796"/>
      <c r="C128" s="796"/>
      <c r="D128" s="773"/>
      <c r="E128" s="784"/>
      <c r="F128" s="12"/>
      <c r="G128" s="12">
        <f t="shared" si="24"/>
        <v>0</v>
      </c>
      <c r="H128" s="112"/>
      <c r="I128" s="13"/>
      <c r="J128" s="532">
        <v>205.427</v>
      </c>
      <c r="K128" s="112"/>
      <c r="L128" s="244" t="s">
        <v>84</v>
      </c>
      <c r="M128" s="856"/>
      <c r="N128" s="241"/>
    </row>
    <row r="129" spans="1:14" ht="24.75" customHeight="1" thickBot="1">
      <c r="A129" s="843"/>
      <c r="B129" s="796"/>
      <c r="C129" s="796"/>
      <c r="D129" s="773"/>
      <c r="E129" s="784"/>
      <c r="F129" s="12"/>
      <c r="G129" s="12">
        <f t="shared" si="24"/>
        <v>0</v>
      </c>
      <c r="H129" s="112"/>
      <c r="I129" s="13"/>
      <c r="J129" s="532">
        <v>13.23</v>
      </c>
      <c r="K129" s="112"/>
      <c r="L129" s="244" t="s">
        <v>85</v>
      </c>
      <c r="M129" s="856"/>
      <c r="N129" s="241"/>
    </row>
    <row r="130" spans="1:14" ht="24.75" customHeight="1" thickBot="1">
      <c r="A130" s="843"/>
      <c r="B130" s="796"/>
      <c r="C130" s="796"/>
      <c r="D130" s="773"/>
      <c r="E130" s="784"/>
      <c r="F130" s="12"/>
      <c r="G130" s="12">
        <f t="shared" si="24"/>
        <v>0</v>
      </c>
      <c r="H130" s="112"/>
      <c r="I130" s="13"/>
      <c r="J130" s="532">
        <v>161.09</v>
      </c>
      <c r="K130" s="112"/>
      <c r="L130" s="244" t="s">
        <v>87</v>
      </c>
      <c r="M130" s="856"/>
      <c r="N130" s="241"/>
    </row>
    <row r="131" spans="1:14" ht="24.75" customHeight="1" thickBot="1">
      <c r="A131" s="843"/>
      <c r="B131" s="796"/>
      <c r="C131" s="796"/>
      <c r="D131" s="773"/>
      <c r="E131" s="784"/>
      <c r="F131" s="27"/>
      <c r="G131" s="27">
        <f t="shared" si="24"/>
        <v>0</v>
      </c>
      <c r="H131" s="428"/>
      <c r="I131" s="28"/>
      <c r="J131" s="541">
        <f>15.18+18+36.45+0.5</f>
        <v>70.13</v>
      </c>
      <c r="K131" s="428"/>
      <c r="L131" s="274" t="s">
        <v>88</v>
      </c>
      <c r="M131" s="856"/>
      <c r="N131" s="241"/>
    </row>
    <row r="132" spans="1:14" ht="24.75" customHeight="1" thickBot="1">
      <c r="A132" s="843"/>
      <c r="B132" s="796"/>
      <c r="C132" s="796"/>
      <c r="D132" s="774">
        <v>2018</v>
      </c>
      <c r="E132" s="777">
        <f>F132+G132+J132+K132</f>
        <v>2781.9159799999998</v>
      </c>
      <c r="F132" s="117"/>
      <c r="G132" s="32">
        <f t="shared" si="24"/>
        <v>0</v>
      </c>
      <c r="H132" s="32">
        <f>H133+H134+H135+H136+H137+H138+H139</f>
        <v>0</v>
      </c>
      <c r="I132" s="32">
        <f>I133+I134+I135+I136+I137+I138+I139</f>
        <v>0</v>
      </c>
      <c r="J132" s="542">
        <f>J133+J134+J135+J136+J137+J138+J139</f>
        <v>2781.9159799999998</v>
      </c>
      <c r="K132" s="32">
        <f>K133+K134+K135+K136+K137+K138+K139</f>
        <v>0</v>
      </c>
      <c r="L132" s="430"/>
      <c r="M132" s="856"/>
      <c r="N132" s="241"/>
    </row>
    <row r="133" spans="1:14" ht="45.75" customHeight="1" thickBot="1">
      <c r="A133" s="843"/>
      <c r="B133" s="796"/>
      <c r="C133" s="796"/>
      <c r="D133" s="774"/>
      <c r="E133" s="777"/>
      <c r="F133" s="118"/>
      <c r="G133" s="119">
        <f t="shared" si="24"/>
        <v>0</v>
      </c>
      <c r="H133" s="118"/>
      <c r="I133" s="119"/>
      <c r="J133" s="543">
        <v>0</v>
      </c>
      <c r="K133" s="431"/>
      <c r="L133" s="289" t="s">
        <v>301</v>
      </c>
      <c r="M133" s="856"/>
      <c r="N133" s="241"/>
    </row>
    <row r="134" spans="1:14" ht="24.75" customHeight="1" thickBot="1">
      <c r="A134" s="843"/>
      <c r="B134" s="796"/>
      <c r="C134" s="796"/>
      <c r="D134" s="774"/>
      <c r="E134" s="777"/>
      <c r="F134" s="65"/>
      <c r="G134" s="105">
        <f t="shared" si="24"/>
        <v>0</v>
      </c>
      <c r="H134" s="65"/>
      <c r="I134" s="105"/>
      <c r="J134" s="533">
        <f>12.64+1186-181.18-36.69771</f>
        <v>980.76229</v>
      </c>
      <c r="K134" s="432"/>
      <c r="L134" s="244" t="s">
        <v>83</v>
      </c>
      <c r="M134" s="856"/>
      <c r="N134" s="241"/>
    </row>
    <row r="135" spans="1:14" ht="24.75" customHeight="1" thickBot="1">
      <c r="A135" s="843"/>
      <c r="B135" s="796"/>
      <c r="C135" s="796"/>
      <c r="D135" s="774"/>
      <c r="E135" s="777"/>
      <c r="F135" s="65"/>
      <c r="G135" s="105">
        <f t="shared" si="24"/>
        <v>0</v>
      </c>
      <c r="H135" s="65"/>
      <c r="I135" s="105"/>
      <c r="J135" s="533">
        <f>12.64+445+788.79-277.21131</f>
        <v>969.2186899999998</v>
      </c>
      <c r="K135" s="432"/>
      <c r="L135" s="244" t="s">
        <v>84</v>
      </c>
      <c r="M135" s="856"/>
      <c r="N135" s="241"/>
    </row>
    <row r="136" spans="1:14" ht="24.75" customHeight="1" thickBot="1">
      <c r="A136" s="843"/>
      <c r="B136" s="796"/>
      <c r="C136" s="796"/>
      <c r="D136" s="774"/>
      <c r="E136" s="777"/>
      <c r="F136" s="65"/>
      <c r="G136" s="105">
        <f t="shared" si="24"/>
        <v>0</v>
      </c>
      <c r="H136" s="65"/>
      <c r="I136" s="105"/>
      <c r="J136" s="533">
        <f>12.64+437.6-55.429</f>
        <v>394.81100000000004</v>
      </c>
      <c r="K136" s="432"/>
      <c r="L136" s="244" t="s">
        <v>85</v>
      </c>
      <c r="M136" s="856"/>
      <c r="N136" s="241"/>
    </row>
    <row r="137" spans="1:14" ht="24.75" customHeight="1" thickBot="1">
      <c r="A137" s="843"/>
      <c r="B137" s="796"/>
      <c r="C137" s="796"/>
      <c r="D137" s="774"/>
      <c r="E137" s="777"/>
      <c r="F137" s="65"/>
      <c r="G137" s="105">
        <f t="shared" si="24"/>
        <v>0</v>
      </c>
      <c r="H137" s="65"/>
      <c r="I137" s="105"/>
      <c r="J137" s="533">
        <f>30.36+107+120+26.184</f>
        <v>283.54400000000004</v>
      </c>
      <c r="K137" s="432"/>
      <c r="L137" s="244" t="s">
        <v>87</v>
      </c>
      <c r="M137" s="856"/>
      <c r="N137" s="241"/>
    </row>
    <row r="138" spans="1:14" ht="24.75" customHeight="1" thickBot="1">
      <c r="A138" s="843"/>
      <c r="B138" s="796"/>
      <c r="C138" s="796"/>
      <c r="D138" s="774"/>
      <c r="E138" s="777"/>
      <c r="F138" s="65"/>
      <c r="G138" s="105">
        <f t="shared" si="24"/>
        <v>0</v>
      </c>
      <c r="H138" s="65"/>
      <c r="I138" s="105"/>
      <c r="J138" s="533">
        <f>15.18+165-26.6</f>
        <v>153.58</v>
      </c>
      <c r="K138" s="432"/>
      <c r="L138" s="244" t="s">
        <v>88</v>
      </c>
      <c r="M138" s="856"/>
      <c r="N138" s="241"/>
    </row>
    <row r="139" spans="1:14" ht="24.75" customHeight="1" thickBot="1">
      <c r="A139" s="843"/>
      <c r="B139" s="796"/>
      <c r="C139" s="796"/>
      <c r="D139" s="774"/>
      <c r="E139" s="777"/>
      <c r="F139" s="71"/>
      <c r="G139" s="120">
        <f t="shared" si="24"/>
        <v>0</v>
      </c>
      <c r="H139" s="71"/>
      <c r="I139" s="120"/>
      <c r="J139" s="544">
        <v>0</v>
      </c>
      <c r="K139" s="433"/>
      <c r="L139" s="274" t="s">
        <v>300</v>
      </c>
      <c r="M139" s="856"/>
      <c r="N139" s="241"/>
    </row>
    <row r="140" spans="1:14" ht="24.75" customHeight="1" thickBot="1">
      <c r="A140" s="843"/>
      <c r="B140" s="796"/>
      <c r="C140" s="796"/>
      <c r="D140" s="774">
        <v>2019</v>
      </c>
      <c r="E140" s="777">
        <f>F140+G140+J140+K140</f>
        <v>387.68000000000006</v>
      </c>
      <c r="F140" s="117">
        <f aca="true" t="shared" si="25" ref="F140:K140">SUM(F141:F147)</f>
        <v>0</v>
      </c>
      <c r="G140" s="32">
        <f t="shared" si="25"/>
        <v>0</v>
      </c>
      <c r="H140" s="32">
        <f t="shared" si="25"/>
        <v>0</v>
      </c>
      <c r="I140" s="32">
        <f t="shared" si="25"/>
        <v>0</v>
      </c>
      <c r="J140" s="542">
        <f t="shared" si="25"/>
        <v>387.68000000000006</v>
      </c>
      <c r="K140" s="32">
        <f t="shared" si="25"/>
        <v>0</v>
      </c>
      <c r="L140" s="430"/>
      <c r="M140" s="856"/>
      <c r="N140" s="241"/>
    </row>
    <row r="141" spans="1:14" ht="41.25" customHeight="1" thickBot="1">
      <c r="A141" s="843"/>
      <c r="B141" s="796"/>
      <c r="C141" s="796"/>
      <c r="D141" s="774"/>
      <c r="E141" s="777"/>
      <c r="F141" s="118"/>
      <c r="G141" s="119">
        <f aca="true" t="shared" si="26" ref="G141:G147">H141+I141</f>
        <v>0</v>
      </c>
      <c r="H141" s="118"/>
      <c r="I141" s="119"/>
      <c r="J141" s="543">
        <v>0</v>
      </c>
      <c r="K141" s="431"/>
      <c r="L141" s="289" t="s">
        <v>301</v>
      </c>
      <c r="M141" s="856"/>
      <c r="N141" s="241"/>
    </row>
    <row r="142" spans="1:14" ht="24.75" customHeight="1" thickBot="1">
      <c r="A142" s="843"/>
      <c r="B142" s="796"/>
      <c r="C142" s="796"/>
      <c r="D142" s="774"/>
      <c r="E142" s="777"/>
      <c r="F142" s="65"/>
      <c r="G142" s="105">
        <f t="shared" si="26"/>
        <v>0</v>
      </c>
      <c r="H142" s="65"/>
      <c r="I142" s="105"/>
      <c r="J142" s="533">
        <v>12.64</v>
      </c>
      <c r="K142" s="432"/>
      <c r="L142" s="244" t="s">
        <v>83</v>
      </c>
      <c r="M142" s="856"/>
      <c r="N142" s="241"/>
    </row>
    <row r="143" spans="1:14" ht="24.75" customHeight="1" thickBot="1">
      <c r="A143" s="843"/>
      <c r="B143" s="796"/>
      <c r="C143" s="796"/>
      <c r="D143" s="774"/>
      <c r="E143" s="777"/>
      <c r="F143" s="65"/>
      <c r="G143" s="105">
        <f t="shared" si="26"/>
        <v>0</v>
      </c>
      <c r="H143" s="65"/>
      <c r="I143" s="105"/>
      <c r="J143" s="533">
        <v>12.64</v>
      </c>
      <c r="K143" s="432"/>
      <c r="L143" s="244" t="s">
        <v>84</v>
      </c>
      <c r="M143" s="856"/>
      <c r="N143" s="241"/>
    </row>
    <row r="144" spans="1:14" ht="24.75" customHeight="1" thickBot="1">
      <c r="A144" s="843"/>
      <c r="B144" s="796"/>
      <c r="C144" s="796"/>
      <c r="D144" s="774"/>
      <c r="E144" s="777"/>
      <c r="F144" s="65"/>
      <c r="G144" s="105">
        <f t="shared" si="26"/>
        <v>0</v>
      </c>
      <c r="H144" s="65"/>
      <c r="I144" s="105"/>
      <c r="J144" s="533">
        <f>12.64+100</f>
        <v>112.64</v>
      </c>
      <c r="K144" s="432"/>
      <c r="L144" s="244" t="s">
        <v>85</v>
      </c>
      <c r="M144" s="856"/>
      <c r="N144" s="241"/>
    </row>
    <row r="145" spans="1:14" ht="21.75" customHeight="1" thickBot="1">
      <c r="A145" s="843"/>
      <c r="B145" s="796"/>
      <c r="C145" s="796"/>
      <c r="D145" s="774"/>
      <c r="E145" s="777"/>
      <c r="F145" s="65"/>
      <c r="G145" s="105">
        <f t="shared" si="26"/>
        <v>0</v>
      </c>
      <c r="H145" s="65"/>
      <c r="I145" s="105"/>
      <c r="J145" s="533">
        <v>0</v>
      </c>
      <c r="K145" s="432"/>
      <c r="L145" s="244" t="s">
        <v>86</v>
      </c>
      <c r="M145" s="856"/>
      <c r="N145" s="241"/>
    </row>
    <row r="146" spans="1:14" ht="21" customHeight="1" thickBot="1">
      <c r="A146" s="843"/>
      <c r="B146" s="796"/>
      <c r="C146" s="796"/>
      <c r="D146" s="774"/>
      <c r="E146" s="777"/>
      <c r="F146" s="65"/>
      <c r="G146" s="105">
        <f t="shared" si="26"/>
        <v>0</v>
      </c>
      <c r="H146" s="65"/>
      <c r="I146" s="105"/>
      <c r="J146" s="533">
        <f>30.36+100</f>
        <v>130.36</v>
      </c>
      <c r="K146" s="432"/>
      <c r="L146" s="244" t="s">
        <v>87</v>
      </c>
      <c r="M146" s="856"/>
      <c r="N146" s="241"/>
    </row>
    <row r="147" spans="1:14" ht="21" customHeight="1" thickBot="1">
      <c r="A147" s="843"/>
      <c r="B147" s="796"/>
      <c r="C147" s="796"/>
      <c r="D147" s="774"/>
      <c r="E147" s="777"/>
      <c r="F147" s="71"/>
      <c r="G147" s="120">
        <f t="shared" si="26"/>
        <v>0</v>
      </c>
      <c r="H147" s="71"/>
      <c r="I147" s="120"/>
      <c r="J147" s="544">
        <f>15.18+16.731+100-12.511</f>
        <v>119.4</v>
      </c>
      <c r="K147" s="433"/>
      <c r="L147" s="274" t="s">
        <v>88</v>
      </c>
      <c r="M147" s="856"/>
      <c r="N147" s="241"/>
    </row>
    <row r="148" spans="1:14" ht="26.25" customHeight="1" thickBot="1">
      <c r="A148" s="843"/>
      <c r="B148" s="796"/>
      <c r="C148" s="796"/>
      <c r="D148" s="774">
        <v>2020</v>
      </c>
      <c r="E148" s="777">
        <f>F148+G148+J148+K148</f>
        <v>153.72</v>
      </c>
      <c r="F148" s="117">
        <f aca="true" t="shared" si="27" ref="F148:K148">SUM(F150:F155)</f>
        <v>0</v>
      </c>
      <c r="G148" s="32">
        <f t="shared" si="27"/>
        <v>0</v>
      </c>
      <c r="H148" s="32">
        <f t="shared" si="27"/>
        <v>0</v>
      </c>
      <c r="I148" s="32">
        <f t="shared" si="27"/>
        <v>0</v>
      </c>
      <c r="J148" s="542">
        <f t="shared" si="27"/>
        <v>153.72</v>
      </c>
      <c r="K148" s="434">
        <f t="shared" si="27"/>
        <v>0</v>
      </c>
      <c r="L148" s="435"/>
      <c r="M148" s="856"/>
      <c r="N148" s="241"/>
    </row>
    <row r="149" spans="1:14" ht="48.75" customHeight="1" thickBot="1">
      <c r="A149" s="843"/>
      <c r="B149" s="796"/>
      <c r="C149" s="796"/>
      <c r="D149" s="774"/>
      <c r="E149" s="777"/>
      <c r="F149" s="118"/>
      <c r="G149" s="119">
        <f aca="true" t="shared" si="28" ref="G149:G155">H149+I149</f>
        <v>0</v>
      </c>
      <c r="H149" s="118"/>
      <c r="I149" s="119"/>
      <c r="J149" s="543">
        <v>0</v>
      </c>
      <c r="K149" s="431"/>
      <c r="L149" s="289" t="s">
        <v>301</v>
      </c>
      <c r="M149" s="856"/>
      <c r="N149" s="241"/>
    </row>
    <row r="150" spans="1:14" ht="24.75" customHeight="1" thickBot="1">
      <c r="A150" s="843"/>
      <c r="B150" s="796"/>
      <c r="C150" s="796"/>
      <c r="D150" s="774"/>
      <c r="E150" s="777"/>
      <c r="F150" s="65"/>
      <c r="G150" s="105">
        <f t="shared" si="28"/>
        <v>0</v>
      </c>
      <c r="H150" s="65"/>
      <c r="I150" s="105"/>
      <c r="J150" s="533">
        <v>29.64</v>
      </c>
      <c r="K150" s="432"/>
      <c r="L150" s="244" t="s">
        <v>83</v>
      </c>
      <c r="M150" s="856"/>
      <c r="N150" s="241"/>
    </row>
    <row r="151" spans="1:14" ht="24.75" customHeight="1" thickBot="1">
      <c r="A151" s="843"/>
      <c r="B151" s="796"/>
      <c r="C151" s="796"/>
      <c r="D151" s="774"/>
      <c r="E151" s="777"/>
      <c r="F151" s="65"/>
      <c r="G151" s="105">
        <f t="shared" si="28"/>
        <v>0</v>
      </c>
      <c r="H151" s="65"/>
      <c r="I151" s="105"/>
      <c r="J151" s="533">
        <v>29.64</v>
      </c>
      <c r="K151" s="432"/>
      <c r="L151" s="244" t="s">
        <v>84</v>
      </c>
      <c r="M151" s="856"/>
      <c r="N151" s="241"/>
    </row>
    <row r="152" spans="1:14" ht="24.75" customHeight="1" thickBot="1">
      <c r="A152" s="843"/>
      <c r="B152" s="796"/>
      <c r="C152" s="796"/>
      <c r="D152" s="774"/>
      <c r="E152" s="777"/>
      <c r="F152" s="65"/>
      <c r="G152" s="105">
        <f t="shared" si="28"/>
        <v>0</v>
      </c>
      <c r="H152" s="65"/>
      <c r="I152" s="105"/>
      <c r="J152" s="533">
        <v>29.64</v>
      </c>
      <c r="K152" s="432"/>
      <c r="L152" s="244" t="s">
        <v>85</v>
      </c>
      <c r="M152" s="856"/>
      <c r="N152" s="241"/>
    </row>
    <row r="153" spans="1:14" ht="24.75" customHeight="1" thickBot="1">
      <c r="A153" s="843"/>
      <c r="B153" s="796"/>
      <c r="C153" s="796"/>
      <c r="D153" s="774"/>
      <c r="E153" s="777"/>
      <c r="F153" s="65"/>
      <c r="G153" s="105">
        <f t="shared" si="28"/>
        <v>0</v>
      </c>
      <c r="H153" s="65"/>
      <c r="I153" s="105"/>
      <c r="J153" s="533">
        <v>0</v>
      </c>
      <c r="K153" s="432"/>
      <c r="L153" s="274" t="s">
        <v>300</v>
      </c>
      <c r="M153" s="856"/>
      <c r="N153" s="241"/>
    </row>
    <row r="154" spans="1:14" ht="24.75" customHeight="1" thickBot="1">
      <c r="A154" s="843"/>
      <c r="B154" s="796"/>
      <c r="C154" s="796"/>
      <c r="D154" s="774"/>
      <c r="E154" s="777"/>
      <c r="F154" s="65"/>
      <c r="G154" s="105">
        <f t="shared" si="28"/>
        <v>0</v>
      </c>
      <c r="H154" s="65"/>
      <c r="I154" s="105"/>
      <c r="J154" s="533">
        <f>33.6-1.2</f>
        <v>32.4</v>
      </c>
      <c r="K154" s="432"/>
      <c r="L154" s="244" t="s">
        <v>87</v>
      </c>
      <c r="M154" s="856"/>
      <c r="N154" s="241"/>
    </row>
    <row r="155" spans="1:14" ht="24.75" customHeight="1" thickBot="1">
      <c r="A155" s="843"/>
      <c r="B155" s="796"/>
      <c r="C155" s="796"/>
      <c r="D155" s="774"/>
      <c r="E155" s="777"/>
      <c r="F155" s="71"/>
      <c r="G155" s="120">
        <f t="shared" si="28"/>
        <v>0</v>
      </c>
      <c r="H155" s="71"/>
      <c r="I155" s="120"/>
      <c r="J155" s="544">
        <f>32.6-0.2</f>
        <v>32.4</v>
      </c>
      <c r="K155" s="433"/>
      <c r="L155" s="274" t="s">
        <v>88</v>
      </c>
      <c r="M155" s="856"/>
      <c r="N155" s="241"/>
    </row>
    <row r="156" spans="1:14" ht="24.75" customHeight="1" thickBot="1">
      <c r="A156" s="843"/>
      <c r="B156" s="796"/>
      <c r="C156" s="796"/>
      <c r="D156" s="774">
        <v>2021</v>
      </c>
      <c r="E156" s="777">
        <f>F156+G156+J156+K156</f>
        <v>695.46</v>
      </c>
      <c r="F156" s="32">
        <f>SUM(F157:F164)</f>
        <v>0</v>
      </c>
      <c r="G156" s="32">
        <f>SUM(G157:G164)</f>
        <v>0</v>
      </c>
      <c r="H156" s="32">
        <f>SUM(H157:H164)</f>
        <v>0</v>
      </c>
      <c r="I156" s="32">
        <f>SUM(I157:I164)</f>
        <v>0</v>
      </c>
      <c r="J156" s="542">
        <f>SUM(J157:J164)</f>
        <v>695.46</v>
      </c>
      <c r="K156" s="436"/>
      <c r="L156" s="383"/>
      <c r="M156" s="856"/>
      <c r="N156" s="241"/>
    </row>
    <row r="157" spans="1:14" ht="45.75" customHeight="1" thickBot="1">
      <c r="A157" s="843"/>
      <c r="B157" s="796"/>
      <c r="C157" s="796"/>
      <c r="D157" s="774"/>
      <c r="E157" s="777"/>
      <c r="F157" s="118"/>
      <c r="G157" s="119"/>
      <c r="H157" s="118"/>
      <c r="I157" s="119"/>
      <c r="J157" s="543">
        <v>0</v>
      </c>
      <c r="K157" s="431"/>
      <c r="L157" s="289" t="s">
        <v>301</v>
      </c>
      <c r="M157" s="856"/>
      <c r="N157" s="241"/>
    </row>
    <row r="158" spans="1:14" ht="24.75" customHeight="1" thickBot="1">
      <c r="A158" s="843"/>
      <c r="B158" s="796"/>
      <c r="C158" s="796"/>
      <c r="D158" s="774"/>
      <c r="E158" s="777"/>
      <c r="F158" s="65"/>
      <c r="G158" s="105"/>
      <c r="H158" s="65"/>
      <c r="I158" s="105"/>
      <c r="J158" s="533">
        <v>36.66339</v>
      </c>
      <c r="K158" s="432"/>
      <c r="L158" s="244" t="s">
        <v>83</v>
      </c>
      <c r="M158" s="856"/>
      <c r="N158" s="241"/>
    </row>
    <row r="159" spans="1:14" ht="24.75" customHeight="1" thickBot="1">
      <c r="A159" s="843"/>
      <c r="B159" s="796"/>
      <c r="C159" s="796"/>
      <c r="D159" s="774"/>
      <c r="E159" s="777"/>
      <c r="F159" s="65"/>
      <c r="G159" s="105"/>
      <c r="H159" s="65"/>
      <c r="I159" s="105"/>
      <c r="J159" s="533">
        <v>68.07261</v>
      </c>
      <c r="K159" s="432"/>
      <c r="L159" s="244" t="s">
        <v>84</v>
      </c>
      <c r="M159" s="856"/>
      <c r="N159" s="241"/>
    </row>
    <row r="160" spans="1:14" ht="24.75" customHeight="1" thickBot="1">
      <c r="A160" s="843"/>
      <c r="B160" s="796"/>
      <c r="C160" s="796"/>
      <c r="D160" s="774"/>
      <c r="E160" s="777"/>
      <c r="F160" s="65"/>
      <c r="G160" s="105"/>
      <c r="H160" s="65"/>
      <c r="I160" s="105"/>
      <c r="J160" s="533">
        <v>101.404</v>
      </c>
      <c r="K160" s="432"/>
      <c r="L160" s="244" t="s">
        <v>85</v>
      </c>
      <c r="M160" s="856"/>
      <c r="N160" s="241"/>
    </row>
    <row r="161" spans="1:14" ht="24.75" customHeight="1" thickBot="1">
      <c r="A161" s="843"/>
      <c r="B161" s="796"/>
      <c r="C161" s="796"/>
      <c r="D161" s="774"/>
      <c r="E161" s="777"/>
      <c r="F161" s="105"/>
      <c r="G161" s="105"/>
      <c r="H161" s="65"/>
      <c r="I161" s="105"/>
      <c r="J161" s="533">
        <v>30.44</v>
      </c>
      <c r="K161" s="432"/>
      <c r="L161" s="274" t="s">
        <v>300</v>
      </c>
      <c r="M161" s="856"/>
      <c r="N161" s="241"/>
    </row>
    <row r="162" spans="1:14" ht="24.75" customHeight="1" thickBot="1">
      <c r="A162" s="843"/>
      <c r="B162" s="796"/>
      <c r="C162" s="796"/>
      <c r="D162" s="774"/>
      <c r="E162" s="777"/>
      <c r="F162" s="65"/>
      <c r="G162" s="105"/>
      <c r="H162" s="65"/>
      <c r="I162" s="105"/>
      <c r="J162" s="533">
        <v>234.44</v>
      </c>
      <c r="K162" s="432"/>
      <c r="L162" s="244" t="s">
        <v>87</v>
      </c>
      <c r="M162" s="856"/>
      <c r="N162" s="241"/>
    </row>
    <row r="163" spans="1:14" ht="24.75" customHeight="1" thickBot="1">
      <c r="A163" s="843"/>
      <c r="B163" s="796"/>
      <c r="C163" s="796"/>
      <c r="D163" s="774"/>
      <c r="E163" s="777"/>
      <c r="F163" s="66"/>
      <c r="G163" s="121"/>
      <c r="H163" s="66"/>
      <c r="I163" s="121"/>
      <c r="J163" s="545">
        <v>24.44</v>
      </c>
      <c r="K163" s="437"/>
      <c r="L163" s="244" t="s">
        <v>88</v>
      </c>
      <c r="M163" s="856"/>
      <c r="N163" s="241"/>
    </row>
    <row r="164" spans="1:14" ht="24.75" customHeight="1" thickBot="1">
      <c r="A164" s="843"/>
      <c r="B164" s="797"/>
      <c r="C164" s="797"/>
      <c r="D164" s="774"/>
      <c r="E164" s="777"/>
      <c r="F164" s="71"/>
      <c r="G164" s="120"/>
      <c r="H164" s="71"/>
      <c r="I164" s="120"/>
      <c r="J164" s="544">
        <v>200</v>
      </c>
      <c r="K164" s="433"/>
      <c r="L164" s="426" t="s">
        <v>88</v>
      </c>
      <c r="M164" s="856"/>
      <c r="N164" s="241"/>
    </row>
    <row r="165" spans="1:14" ht="26.25" customHeight="1" thickBot="1">
      <c r="A165" s="843"/>
      <c r="B165" s="797"/>
      <c r="C165" s="797"/>
      <c r="D165" s="780">
        <v>2022</v>
      </c>
      <c r="E165" s="438">
        <f>I165+J165</f>
        <v>659.0250000000001</v>
      </c>
      <c r="F165" s="439">
        <f>SUM(F166:F172)</f>
        <v>0</v>
      </c>
      <c r="G165" s="440">
        <f>SUM(G166:G172)</f>
        <v>0</v>
      </c>
      <c r="H165" s="440">
        <f>SUM(H166:H172)</f>
        <v>0</v>
      </c>
      <c r="I165" s="440">
        <f>SUM(I166:I172)</f>
        <v>0</v>
      </c>
      <c r="J165" s="546">
        <f>SUM(J166:J172)</f>
        <v>659.0250000000001</v>
      </c>
      <c r="K165" s="441"/>
      <c r="L165" s="442"/>
      <c r="M165" s="856"/>
      <c r="N165" s="241"/>
    </row>
    <row r="166" spans="1:14" ht="27" customHeight="1" thickBot="1">
      <c r="A166" s="843"/>
      <c r="B166" s="797"/>
      <c r="C166" s="797"/>
      <c r="D166" s="780"/>
      <c r="E166" s="781"/>
      <c r="F166" s="118"/>
      <c r="G166" s="119"/>
      <c r="H166" s="118"/>
      <c r="I166" s="119"/>
      <c r="J166" s="543">
        <v>0</v>
      </c>
      <c r="K166" s="444"/>
      <c r="L166" s="445" t="s">
        <v>51</v>
      </c>
      <c r="M166" s="856"/>
      <c r="N166" s="241"/>
    </row>
    <row r="167" spans="1:14" ht="24.75" customHeight="1" thickBot="1">
      <c r="A167" s="843"/>
      <c r="B167" s="797"/>
      <c r="C167" s="797"/>
      <c r="D167" s="780"/>
      <c r="E167" s="781"/>
      <c r="F167" s="65"/>
      <c r="G167" s="105"/>
      <c r="H167" s="65"/>
      <c r="I167" s="105"/>
      <c r="J167" s="533">
        <v>184.6</v>
      </c>
      <c r="K167" s="446"/>
      <c r="L167" s="244" t="s">
        <v>83</v>
      </c>
      <c r="M167" s="856"/>
      <c r="N167" s="241"/>
    </row>
    <row r="168" spans="1:14" ht="24.75" customHeight="1" thickBot="1">
      <c r="A168" s="843"/>
      <c r="B168" s="797"/>
      <c r="C168" s="797"/>
      <c r="D168" s="780"/>
      <c r="E168" s="781"/>
      <c r="F168" s="65"/>
      <c r="G168" s="105"/>
      <c r="H168" s="65"/>
      <c r="I168" s="105"/>
      <c r="J168" s="533">
        <v>32.4</v>
      </c>
      <c r="K168" s="446"/>
      <c r="L168" s="244" t="s">
        <v>84</v>
      </c>
      <c r="M168" s="856"/>
      <c r="N168" s="241"/>
    </row>
    <row r="169" spans="1:14" ht="24.75" customHeight="1" thickBot="1">
      <c r="A169" s="843"/>
      <c r="B169" s="797"/>
      <c r="C169" s="797"/>
      <c r="D169" s="780"/>
      <c r="E169" s="781"/>
      <c r="F169" s="65"/>
      <c r="G169" s="105"/>
      <c r="H169" s="65"/>
      <c r="I169" s="105"/>
      <c r="J169" s="533">
        <v>32.4</v>
      </c>
      <c r="K169" s="446"/>
      <c r="L169" s="244" t="s">
        <v>85</v>
      </c>
      <c r="M169" s="856"/>
      <c r="N169" s="241"/>
    </row>
    <row r="170" spans="1:14" ht="24.75" customHeight="1" thickBot="1">
      <c r="A170" s="843"/>
      <c r="B170" s="797"/>
      <c r="C170" s="797"/>
      <c r="D170" s="780"/>
      <c r="E170" s="781"/>
      <c r="F170" s="65"/>
      <c r="G170" s="105"/>
      <c r="H170" s="65"/>
      <c r="I170" s="105"/>
      <c r="J170" s="533">
        <v>31.4</v>
      </c>
      <c r="K170" s="446"/>
      <c r="L170" s="274" t="s">
        <v>300</v>
      </c>
      <c r="M170" s="856"/>
      <c r="N170" s="241"/>
    </row>
    <row r="171" spans="1:14" ht="24.75" customHeight="1" thickBot="1">
      <c r="A171" s="843"/>
      <c r="B171" s="797"/>
      <c r="C171" s="797"/>
      <c r="D171" s="780"/>
      <c r="E171" s="781"/>
      <c r="F171" s="65"/>
      <c r="G171" s="105"/>
      <c r="H171" s="65"/>
      <c r="I171" s="105"/>
      <c r="J171" s="533">
        <v>45.326</v>
      </c>
      <c r="K171" s="446"/>
      <c r="L171" s="244" t="s">
        <v>87</v>
      </c>
      <c r="M171" s="856"/>
      <c r="N171" s="241"/>
    </row>
    <row r="172" spans="1:14" ht="24.75" customHeight="1" thickBot="1">
      <c r="A172" s="843"/>
      <c r="B172" s="797"/>
      <c r="C172" s="797"/>
      <c r="D172" s="780"/>
      <c r="E172" s="781"/>
      <c r="F172" s="66"/>
      <c r="G172" s="121"/>
      <c r="H172" s="66"/>
      <c r="I172" s="121"/>
      <c r="J172" s="545">
        <v>332.899</v>
      </c>
      <c r="K172" s="447"/>
      <c r="L172" s="274" t="s">
        <v>88</v>
      </c>
      <c r="M172" s="856"/>
      <c r="N172" s="241"/>
    </row>
    <row r="173" spans="1:14" ht="24.75" customHeight="1" thickBot="1">
      <c r="A173" s="843"/>
      <c r="B173" s="797"/>
      <c r="C173" s="797"/>
      <c r="D173" s="782">
        <v>2023</v>
      </c>
      <c r="E173" s="117">
        <f>F173+G173+J173+K173</f>
        <v>207.84</v>
      </c>
      <c r="F173" s="397">
        <f>SUM(F174:F179)</f>
        <v>0</v>
      </c>
      <c r="G173" s="397">
        <f>H173+I173</f>
        <v>0</v>
      </c>
      <c r="H173" s="397">
        <f>SUM(H174:H179)</f>
        <v>0</v>
      </c>
      <c r="I173" s="397">
        <f>SUM(I174:I179)</f>
        <v>0</v>
      </c>
      <c r="J173" s="542">
        <f>SUM(J174:J179)</f>
        <v>207.84</v>
      </c>
      <c r="K173" s="448"/>
      <c r="L173" s="430"/>
      <c r="M173" s="856"/>
      <c r="N173" s="241"/>
    </row>
    <row r="174" spans="1:14" ht="24.75" customHeight="1">
      <c r="A174" s="843"/>
      <c r="B174" s="797"/>
      <c r="C174" s="797"/>
      <c r="D174" s="782"/>
      <c r="E174" s="783"/>
      <c r="F174" s="118"/>
      <c r="G174" s="119"/>
      <c r="H174" s="118"/>
      <c r="I174" s="119"/>
      <c r="J174" s="533">
        <v>34.6</v>
      </c>
      <c r="K174" s="444"/>
      <c r="L174" s="244" t="s">
        <v>83</v>
      </c>
      <c r="M174" s="856"/>
      <c r="N174" s="241"/>
    </row>
    <row r="175" spans="1:14" ht="24.75" customHeight="1">
      <c r="A175" s="843"/>
      <c r="B175" s="797"/>
      <c r="C175" s="797"/>
      <c r="D175" s="782"/>
      <c r="E175" s="783"/>
      <c r="F175" s="65"/>
      <c r="G175" s="105"/>
      <c r="H175" s="65"/>
      <c r="I175" s="105"/>
      <c r="J175" s="533">
        <v>34.6</v>
      </c>
      <c r="K175" s="446"/>
      <c r="L175" s="244" t="s">
        <v>84</v>
      </c>
      <c r="M175" s="856"/>
      <c r="N175" s="241"/>
    </row>
    <row r="176" spans="1:14" ht="24.75" customHeight="1">
      <c r="A176" s="843"/>
      <c r="B176" s="797"/>
      <c r="C176" s="797"/>
      <c r="D176" s="782"/>
      <c r="E176" s="783"/>
      <c r="F176" s="65"/>
      <c r="G176" s="105"/>
      <c r="H176" s="65"/>
      <c r="I176" s="105"/>
      <c r="J176" s="533">
        <v>33.4</v>
      </c>
      <c r="K176" s="446"/>
      <c r="L176" s="244" t="s">
        <v>85</v>
      </c>
      <c r="M176" s="856"/>
      <c r="N176" s="241"/>
    </row>
    <row r="177" spans="1:14" ht="24.75" customHeight="1" thickBot="1">
      <c r="A177" s="843"/>
      <c r="B177" s="797"/>
      <c r="C177" s="797"/>
      <c r="D177" s="782"/>
      <c r="E177" s="783"/>
      <c r="F177" s="65"/>
      <c r="G177" s="105"/>
      <c r="H177" s="65"/>
      <c r="I177" s="105"/>
      <c r="J177" s="533">
        <v>34.12</v>
      </c>
      <c r="K177" s="446"/>
      <c r="L177" s="274" t="s">
        <v>300</v>
      </c>
      <c r="M177" s="856"/>
      <c r="N177" s="241"/>
    </row>
    <row r="178" spans="1:14" ht="24.75" customHeight="1">
      <c r="A178" s="843"/>
      <c r="B178" s="797"/>
      <c r="C178" s="797"/>
      <c r="D178" s="782"/>
      <c r="E178" s="783"/>
      <c r="F178" s="65"/>
      <c r="G178" s="105"/>
      <c r="H178" s="65"/>
      <c r="I178" s="105"/>
      <c r="J178" s="533">
        <v>35.56</v>
      </c>
      <c r="K178" s="446"/>
      <c r="L178" s="244" t="s">
        <v>87</v>
      </c>
      <c r="M178" s="856"/>
      <c r="N178" s="241"/>
    </row>
    <row r="179" spans="1:14" ht="24.75" customHeight="1" thickBot="1">
      <c r="A179" s="843"/>
      <c r="B179" s="797"/>
      <c r="C179" s="797"/>
      <c r="D179" s="782"/>
      <c r="E179" s="783"/>
      <c r="F179" s="66"/>
      <c r="G179" s="121"/>
      <c r="H179" s="66"/>
      <c r="I179" s="121"/>
      <c r="J179" s="545">
        <v>35.56</v>
      </c>
      <c r="K179" s="437"/>
      <c r="L179" s="449" t="s">
        <v>88</v>
      </c>
      <c r="M179" s="856"/>
      <c r="N179" s="241"/>
    </row>
    <row r="180" spans="1:14" ht="24.75" customHeight="1" thickBot="1">
      <c r="A180" s="844"/>
      <c r="B180" s="797"/>
      <c r="C180" s="797"/>
      <c r="D180" s="391">
        <v>2024</v>
      </c>
      <c r="E180" s="117">
        <f>F180+G180+J180+K180</f>
        <v>207.84</v>
      </c>
      <c r="F180" s="397">
        <f>SUM(F181:F186)</f>
        <v>0</v>
      </c>
      <c r="G180" s="397">
        <f>H180+I180</f>
        <v>0</v>
      </c>
      <c r="H180" s="397">
        <f>SUM(H181:H186)</f>
        <v>0</v>
      </c>
      <c r="I180" s="397">
        <f>SUM(I181:I186)</f>
        <v>0</v>
      </c>
      <c r="J180" s="542">
        <f>SUM(J181:J186)</f>
        <v>207.84</v>
      </c>
      <c r="K180" s="448"/>
      <c r="L180" s="430"/>
      <c r="M180" s="856"/>
      <c r="N180" s="241"/>
    </row>
    <row r="181" spans="1:14" ht="24.75" customHeight="1">
      <c r="A181" s="844"/>
      <c r="B181" s="797"/>
      <c r="C181" s="797"/>
      <c r="D181" s="391"/>
      <c r="E181" s="392"/>
      <c r="F181" s="392"/>
      <c r="G181" s="393"/>
      <c r="H181" s="392"/>
      <c r="I181" s="393"/>
      <c r="J181" s="547">
        <v>34.6</v>
      </c>
      <c r="K181" s="450"/>
      <c r="L181" s="244" t="s">
        <v>83</v>
      </c>
      <c r="M181" s="856"/>
      <c r="N181" s="241"/>
    </row>
    <row r="182" spans="1:14" ht="24.75" customHeight="1">
      <c r="A182" s="844"/>
      <c r="B182" s="797"/>
      <c r="C182" s="797"/>
      <c r="D182" s="391"/>
      <c r="E182" s="392"/>
      <c r="F182" s="392"/>
      <c r="G182" s="393"/>
      <c r="H182" s="392"/>
      <c r="I182" s="393"/>
      <c r="J182" s="547">
        <v>34.6</v>
      </c>
      <c r="K182" s="450"/>
      <c r="L182" s="244" t="s">
        <v>84</v>
      </c>
      <c r="M182" s="856"/>
      <c r="N182" s="241"/>
    </row>
    <row r="183" spans="1:14" ht="24.75" customHeight="1">
      <c r="A183" s="844"/>
      <c r="B183" s="797"/>
      <c r="C183" s="797"/>
      <c r="D183" s="391"/>
      <c r="E183" s="392"/>
      <c r="F183" s="392"/>
      <c r="G183" s="393"/>
      <c r="H183" s="392"/>
      <c r="I183" s="393"/>
      <c r="J183" s="547">
        <v>33.4</v>
      </c>
      <c r="K183" s="450"/>
      <c r="L183" s="244" t="s">
        <v>85</v>
      </c>
      <c r="M183" s="856"/>
      <c r="N183" s="241"/>
    </row>
    <row r="184" spans="1:14" ht="24.75" customHeight="1" thickBot="1">
      <c r="A184" s="844"/>
      <c r="B184" s="797"/>
      <c r="C184" s="797"/>
      <c r="D184" s="391"/>
      <c r="E184" s="392"/>
      <c r="F184" s="392"/>
      <c r="G184" s="393"/>
      <c r="H184" s="392"/>
      <c r="I184" s="393"/>
      <c r="J184" s="547">
        <v>34.12</v>
      </c>
      <c r="K184" s="450"/>
      <c r="L184" s="274" t="s">
        <v>300</v>
      </c>
      <c r="M184" s="856"/>
      <c r="N184" s="241"/>
    </row>
    <row r="185" spans="1:14" ht="24.75" customHeight="1">
      <c r="A185" s="844"/>
      <c r="B185" s="797"/>
      <c r="C185" s="797"/>
      <c r="D185" s="391"/>
      <c r="E185" s="392"/>
      <c r="F185" s="392"/>
      <c r="G185" s="393"/>
      <c r="H185" s="392"/>
      <c r="I185" s="393"/>
      <c r="J185" s="547">
        <v>35.56</v>
      </c>
      <c r="K185" s="450"/>
      <c r="L185" s="244" t="s">
        <v>87</v>
      </c>
      <c r="M185" s="856"/>
      <c r="N185" s="241"/>
    </row>
    <row r="186" spans="1:14" ht="24.75" customHeight="1" thickBot="1">
      <c r="A186" s="844"/>
      <c r="B186" s="797"/>
      <c r="C186" s="797"/>
      <c r="D186" s="391"/>
      <c r="E186" s="392"/>
      <c r="F186" s="392"/>
      <c r="G186" s="393"/>
      <c r="H186" s="392"/>
      <c r="I186" s="393"/>
      <c r="J186" s="547">
        <v>35.56</v>
      </c>
      <c r="K186" s="450"/>
      <c r="L186" s="449" t="s">
        <v>88</v>
      </c>
      <c r="M186" s="856"/>
      <c r="N186" s="241"/>
    </row>
    <row r="187" spans="1:14" ht="24.75" customHeight="1" thickBot="1">
      <c r="A187" s="844"/>
      <c r="B187" s="797"/>
      <c r="C187" s="797"/>
      <c r="D187" s="391">
        <v>2025</v>
      </c>
      <c r="E187" s="117">
        <f>F187+G187+J187+K187</f>
        <v>207.84</v>
      </c>
      <c r="F187" s="397">
        <f>SUM(F188:F193)</f>
        <v>0</v>
      </c>
      <c r="G187" s="397">
        <f>H187+I187</f>
        <v>0</v>
      </c>
      <c r="H187" s="397">
        <f>SUM(H188:H193)</f>
        <v>0</v>
      </c>
      <c r="I187" s="397">
        <f>SUM(I188:I193)</f>
        <v>0</v>
      </c>
      <c r="J187" s="542">
        <f>SUM(J188:J193)</f>
        <v>207.84</v>
      </c>
      <c r="K187" s="448"/>
      <c r="L187" s="430"/>
      <c r="M187" s="856"/>
      <c r="N187" s="241"/>
    </row>
    <row r="188" spans="1:14" ht="24.75" customHeight="1">
      <c r="A188" s="844"/>
      <c r="B188" s="797"/>
      <c r="C188" s="797"/>
      <c r="D188" s="391"/>
      <c r="E188" s="392"/>
      <c r="F188" s="392"/>
      <c r="G188" s="393"/>
      <c r="H188" s="392"/>
      <c r="I188" s="393"/>
      <c r="J188" s="547">
        <v>34.6</v>
      </c>
      <c r="K188" s="450"/>
      <c r="L188" s="244" t="s">
        <v>83</v>
      </c>
      <c r="M188" s="856"/>
      <c r="N188" s="241"/>
    </row>
    <row r="189" spans="1:14" ht="24.75" customHeight="1">
      <c r="A189" s="844"/>
      <c r="B189" s="797"/>
      <c r="C189" s="797"/>
      <c r="D189" s="391"/>
      <c r="E189" s="392"/>
      <c r="F189" s="392"/>
      <c r="G189" s="393"/>
      <c r="H189" s="392"/>
      <c r="I189" s="393"/>
      <c r="J189" s="547">
        <v>34.6</v>
      </c>
      <c r="K189" s="450"/>
      <c r="L189" s="244" t="s">
        <v>84</v>
      </c>
      <c r="M189" s="856"/>
      <c r="N189" s="241"/>
    </row>
    <row r="190" spans="1:14" ht="24.75" customHeight="1">
      <c r="A190" s="844"/>
      <c r="B190" s="797"/>
      <c r="C190" s="797"/>
      <c r="D190" s="391"/>
      <c r="E190" s="392"/>
      <c r="F190" s="392"/>
      <c r="G190" s="393"/>
      <c r="H190" s="392"/>
      <c r="I190" s="393"/>
      <c r="J190" s="547">
        <v>33.4</v>
      </c>
      <c r="K190" s="450"/>
      <c r="L190" s="244" t="s">
        <v>85</v>
      </c>
      <c r="M190" s="856"/>
      <c r="N190" s="241"/>
    </row>
    <row r="191" spans="1:14" ht="24.75" customHeight="1" thickBot="1">
      <c r="A191" s="844"/>
      <c r="B191" s="797"/>
      <c r="C191" s="797"/>
      <c r="D191" s="391"/>
      <c r="E191" s="392"/>
      <c r="F191" s="392"/>
      <c r="G191" s="393"/>
      <c r="H191" s="392"/>
      <c r="I191" s="393"/>
      <c r="J191" s="547">
        <v>34.12</v>
      </c>
      <c r="K191" s="450"/>
      <c r="L191" s="274" t="s">
        <v>300</v>
      </c>
      <c r="M191" s="856"/>
      <c r="N191" s="241"/>
    </row>
    <row r="192" spans="1:14" ht="24.75" customHeight="1">
      <c r="A192" s="844"/>
      <c r="B192" s="797"/>
      <c r="C192" s="797"/>
      <c r="D192" s="391"/>
      <c r="E192" s="392"/>
      <c r="F192" s="392"/>
      <c r="G192" s="393"/>
      <c r="H192" s="392"/>
      <c r="I192" s="393"/>
      <c r="J192" s="547">
        <v>35.56</v>
      </c>
      <c r="K192" s="450"/>
      <c r="L192" s="244" t="s">
        <v>87</v>
      </c>
      <c r="M192" s="856"/>
      <c r="N192" s="241"/>
    </row>
    <row r="193" spans="1:14" ht="24.75" customHeight="1">
      <c r="A193" s="844"/>
      <c r="B193" s="797"/>
      <c r="C193" s="797"/>
      <c r="D193" s="391"/>
      <c r="E193" s="392"/>
      <c r="F193" s="392"/>
      <c r="G193" s="393"/>
      <c r="H193" s="392"/>
      <c r="I193" s="393"/>
      <c r="J193" s="547">
        <v>35.56</v>
      </c>
      <c r="K193" s="450"/>
      <c r="L193" s="449" t="s">
        <v>88</v>
      </c>
      <c r="M193" s="856"/>
      <c r="N193" s="241"/>
    </row>
    <row r="194" spans="1:14" ht="24.75" customHeight="1">
      <c r="A194" s="845"/>
      <c r="B194" s="798"/>
      <c r="C194" s="798"/>
      <c r="D194" s="391"/>
      <c r="E194" s="392"/>
      <c r="F194" s="392"/>
      <c r="G194" s="393"/>
      <c r="H194" s="392"/>
      <c r="I194" s="393"/>
      <c r="J194" s="547"/>
      <c r="K194" s="450"/>
      <c r="L194" s="238"/>
      <c r="M194" s="856"/>
      <c r="N194" s="241"/>
    </row>
    <row r="195" spans="1:14" ht="27.75" customHeight="1" thickBot="1">
      <c r="A195" s="769" t="s">
        <v>89</v>
      </c>
      <c r="B195" s="771" t="s">
        <v>90</v>
      </c>
      <c r="C195" s="771"/>
      <c r="D195" s="773">
        <v>2019</v>
      </c>
      <c r="E195" s="775">
        <f>F195+G195+J195+K195</f>
        <v>47.04</v>
      </c>
      <c r="F195" s="439">
        <f>SUM(F196:F201)</f>
        <v>0</v>
      </c>
      <c r="G195" s="451">
        <f aca="true" t="shared" si="29" ref="G195:G217">H195+I195</f>
        <v>0</v>
      </c>
      <c r="H195" s="440">
        <f>SUM(H196:H201)</f>
        <v>0</v>
      </c>
      <c r="I195" s="440">
        <f>SUM(I196:I201)</f>
        <v>0</v>
      </c>
      <c r="J195" s="546">
        <f>SUM(J196:J201)</f>
        <v>47.04</v>
      </c>
      <c r="K195" s="441"/>
      <c r="L195" s="452"/>
      <c r="M195" s="856"/>
      <c r="N195" s="241"/>
    </row>
    <row r="196" spans="1:14" ht="24.75" customHeight="1" thickBot="1">
      <c r="A196" s="770"/>
      <c r="B196" s="772"/>
      <c r="C196" s="772"/>
      <c r="D196" s="774"/>
      <c r="E196" s="776"/>
      <c r="F196" s="124"/>
      <c r="G196" s="119">
        <f t="shared" si="29"/>
        <v>0</v>
      </c>
      <c r="H196" s="118"/>
      <c r="I196" s="119"/>
      <c r="J196" s="543">
        <v>4.5</v>
      </c>
      <c r="K196" s="431"/>
      <c r="L196" s="244" t="s">
        <v>83</v>
      </c>
      <c r="M196" s="856"/>
      <c r="N196" s="241"/>
    </row>
    <row r="197" spans="1:14" ht="24.75" customHeight="1" thickBot="1">
      <c r="A197" s="770"/>
      <c r="B197" s="772"/>
      <c r="C197" s="772"/>
      <c r="D197" s="774"/>
      <c r="E197" s="776"/>
      <c r="F197" s="125"/>
      <c r="G197" s="105">
        <f t="shared" si="29"/>
        <v>0</v>
      </c>
      <c r="H197" s="65"/>
      <c r="I197" s="105"/>
      <c r="J197" s="533">
        <v>6</v>
      </c>
      <c r="K197" s="432"/>
      <c r="L197" s="244" t="s">
        <v>84</v>
      </c>
      <c r="M197" s="856"/>
      <c r="N197" s="241"/>
    </row>
    <row r="198" spans="1:14" ht="24.75" customHeight="1" thickBot="1">
      <c r="A198" s="770"/>
      <c r="B198" s="772"/>
      <c r="C198" s="772"/>
      <c r="D198" s="774"/>
      <c r="E198" s="776"/>
      <c r="F198" s="125"/>
      <c r="G198" s="105">
        <f t="shared" si="29"/>
        <v>0</v>
      </c>
      <c r="H198" s="65"/>
      <c r="I198" s="105"/>
      <c r="J198" s="533">
        <v>4.5</v>
      </c>
      <c r="K198" s="432"/>
      <c r="L198" s="244" t="s">
        <v>85</v>
      </c>
      <c r="M198" s="856"/>
      <c r="N198" s="241"/>
    </row>
    <row r="199" spans="1:14" ht="24.75" customHeight="1" thickBot="1">
      <c r="A199" s="770"/>
      <c r="B199" s="772"/>
      <c r="C199" s="772"/>
      <c r="D199" s="774"/>
      <c r="E199" s="776"/>
      <c r="F199" s="125"/>
      <c r="G199" s="105">
        <f t="shared" si="29"/>
        <v>0</v>
      </c>
      <c r="H199" s="65"/>
      <c r="I199" s="105"/>
      <c r="J199" s="533">
        <v>20.04</v>
      </c>
      <c r="K199" s="432"/>
      <c r="L199" s="274" t="s">
        <v>300</v>
      </c>
      <c r="M199" s="856"/>
      <c r="N199" s="241"/>
    </row>
    <row r="200" spans="1:14" ht="24.75" customHeight="1" thickBot="1">
      <c r="A200" s="770"/>
      <c r="B200" s="772"/>
      <c r="C200" s="772"/>
      <c r="D200" s="774"/>
      <c r="E200" s="776"/>
      <c r="F200" s="125"/>
      <c r="G200" s="105">
        <f t="shared" si="29"/>
        <v>0</v>
      </c>
      <c r="H200" s="65"/>
      <c r="I200" s="105"/>
      <c r="J200" s="533">
        <v>12</v>
      </c>
      <c r="K200" s="432"/>
      <c r="L200" s="445" t="s">
        <v>51</v>
      </c>
      <c r="M200" s="856"/>
      <c r="N200" s="241"/>
    </row>
    <row r="201" spans="1:14" ht="24.75" customHeight="1" thickBot="1">
      <c r="A201" s="770"/>
      <c r="B201" s="772"/>
      <c r="C201" s="772"/>
      <c r="D201" s="774"/>
      <c r="E201" s="776"/>
      <c r="F201" s="126"/>
      <c r="G201" s="120">
        <f t="shared" si="29"/>
        <v>0</v>
      </c>
      <c r="H201" s="71"/>
      <c r="I201" s="120"/>
      <c r="J201" s="544">
        <v>0</v>
      </c>
      <c r="K201" s="433"/>
      <c r="L201" s="274"/>
      <c r="M201" s="856"/>
      <c r="N201" s="241"/>
    </row>
    <row r="202" spans="1:14" ht="24.75" customHeight="1" thickBot="1">
      <c r="A202" s="770"/>
      <c r="B202" s="772"/>
      <c r="C202" s="772"/>
      <c r="D202" s="774">
        <v>2020</v>
      </c>
      <c r="E202" s="777">
        <f>F202+G202+J202+K202</f>
        <v>39.64</v>
      </c>
      <c r="F202" s="453"/>
      <c r="G202" s="24">
        <f t="shared" si="29"/>
        <v>0</v>
      </c>
      <c r="H202" s="24">
        <f>H203+H204+H205+H206+H208+H209</f>
        <v>0</v>
      </c>
      <c r="I202" s="24">
        <f>I203+I204+I205+I206+I208+I209</f>
        <v>0</v>
      </c>
      <c r="J202" s="548">
        <f>SUM(J203:J209)</f>
        <v>39.64</v>
      </c>
      <c r="K202" s="454">
        <f>K203+K204+K205+K206+K208+K209</f>
        <v>0</v>
      </c>
      <c r="L202" s="442"/>
      <c r="M202" s="856"/>
      <c r="N202" s="241"/>
    </row>
    <row r="203" spans="1:14" ht="25.5" customHeight="1" thickBot="1">
      <c r="A203" s="770"/>
      <c r="B203" s="772"/>
      <c r="C203" s="772"/>
      <c r="D203" s="774"/>
      <c r="E203" s="777"/>
      <c r="F203" s="25"/>
      <c r="G203" s="25">
        <f t="shared" si="29"/>
        <v>0</v>
      </c>
      <c r="H203" s="25"/>
      <c r="I203" s="26"/>
      <c r="J203" s="535">
        <f>12-7.4</f>
        <v>4.6</v>
      </c>
      <c r="K203" s="25"/>
      <c r="L203" s="445" t="s">
        <v>51</v>
      </c>
      <c r="M203" s="856"/>
      <c r="N203" s="241"/>
    </row>
    <row r="204" spans="1:14" ht="24.75" customHeight="1" thickBot="1">
      <c r="A204" s="770"/>
      <c r="B204" s="772"/>
      <c r="C204" s="772"/>
      <c r="D204" s="774"/>
      <c r="E204" s="777"/>
      <c r="F204" s="12"/>
      <c r="G204" s="12">
        <f t="shared" si="29"/>
        <v>0</v>
      </c>
      <c r="H204" s="12"/>
      <c r="I204" s="13"/>
      <c r="J204" s="532">
        <v>4.5</v>
      </c>
      <c r="K204" s="12"/>
      <c r="L204" s="244" t="s">
        <v>83</v>
      </c>
      <c r="M204" s="856"/>
      <c r="N204" s="241"/>
    </row>
    <row r="205" spans="1:14" ht="24.75" customHeight="1" thickBot="1">
      <c r="A205" s="770"/>
      <c r="B205" s="772"/>
      <c r="C205" s="772"/>
      <c r="D205" s="774"/>
      <c r="E205" s="777"/>
      <c r="F205" s="12"/>
      <c r="G205" s="12">
        <f t="shared" si="29"/>
        <v>0</v>
      </c>
      <c r="H205" s="12"/>
      <c r="I205" s="13"/>
      <c r="J205" s="532">
        <v>6</v>
      </c>
      <c r="K205" s="12"/>
      <c r="L205" s="244" t="s">
        <v>84</v>
      </c>
      <c r="M205" s="856"/>
      <c r="N205" s="241"/>
    </row>
    <row r="206" spans="1:14" ht="24.75" customHeight="1" thickBot="1">
      <c r="A206" s="770"/>
      <c r="B206" s="772"/>
      <c r="C206" s="772"/>
      <c r="D206" s="774"/>
      <c r="E206" s="777"/>
      <c r="F206" s="12"/>
      <c r="G206" s="12">
        <f t="shared" si="29"/>
        <v>0</v>
      </c>
      <c r="H206" s="12"/>
      <c r="I206" s="13"/>
      <c r="J206" s="532">
        <v>4.5</v>
      </c>
      <c r="K206" s="12"/>
      <c r="L206" s="244" t="s">
        <v>85</v>
      </c>
      <c r="M206" s="856"/>
      <c r="N206" s="241"/>
    </row>
    <row r="207" spans="1:14" ht="24.75" customHeight="1" thickBot="1">
      <c r="A207" s="770"/>
      <c r="B207" s="772"/>
      <c r="C207" s="772"/>
      <c r="D207" s="774"/>
      <c r="E207" s="777"/>
      <c r="F207" s="12"/>
      <c r="G207" s="12">
        <f t="shared" si="29"/>
        <v>0</v>
      </c>
      <c r="H207" s="12"/>
      <c r="I207" s="13"/>
      <c r="J207" s="533">
        <v>20.04</v>
      </c>
      <c r="K207" s="432"/>
      <c r="L207" s="274" t="s">
        <v>300</v>
      </c>
      <c r="M207" s="856"/>
      <c r="N207" s="241"/>
    </row>
    <row r="208" spans="1:14" ht="24.75" customHeight="1" thickBot="1">
      <c r="A208" s="770"/>
      <c r="B208" s="772"/>
      <c r="C208" s="772"/>
      <c r="D208" s="774"/>
      <c r="E208" s="777"/>
      <c r="F208" s="12"/>
      <c r="G208" s="12">
        <f t="shared" si="29"/>
        <v>0</v>
      </c>
      <c r="H208" s="12"/>
      <c r="I208" s="13"/>
      <c r="J208" s="532">
        <v>0</v>
      </c>
      <c r="K208" s="12"/>
      <c r="L208" s="244" t="s">
        <v>87</v>
      </c>
      <c r="M208" s="856"/>
      <c r="N208" s="241"/>
    </row>
    <row r="209" spans="1:14" ht="24.75" customHeight="1" thickBot="1">
      <c r="A209" s="770"/>
      <c r="B209" s="772"/>
      <c r="C209" s="772"/>
      <c r="D209" s="774"/>
      <c r="E209" s="777"/>
      <c r="F209" s="27"/>
      <c r="G209" s="27">
        <f t="shared" si="29"/>
        <v>0</v>
      </c>
      <c r="H209" s="27"/>
      <c r="I209" s="28"/>
      <c r="J209" s="541">
        <v>0</v>
      </c>
      <c r="K209" s="27"/>
      <c r="L209" s="274" t="s">
        <v>88</v>
      </c>
      <c r="M209" s="856"/>
      <c r="N209" s="241"/>
    </row>
    <row r="210" spans="1:14" ht="24.75" customHeight="1" thickBot="1">
      <c r="A210" s="770"/>
      <c r="B210" s="772"/>
      <c r="C210" s="772"/>
      <c r="D210" s="774">
        <v>2021</v>
      </c>
      <c r="E210" s="777">
        <f>F210+G210+J210+K210</f>
        <v>0</v>
      </c>
      <c r="F210" s="453"/>
      <c r="G210" s="24">
        <f t="shared" si="29"/>
        <v>0</v>
      </c>
      <c r="H210" s="24">
        <f>H211+H212+H213+H214+H216+H217</f>
        <v>0</v>
      </c>
      <c r="I210" s="24">
        <f>I211+I212+I213+I214+I216+I217</f>
        <v>0</v>
      </c>
      <c r="J210" s="548">
        <f>SUM(J211:J217)</f>
        <v>0</v>
      </c>
      <c r="K210" s="24">
        <f>K211+K212+K213+K214+K216+K217</f>
        <v>0</v>
      </c>
      <c r="L210" s="430"/>
      <c r="M210" s="856"/>
      <c r="N210" s="241"/>
    </row>
    <row r="211" spans="1:14" ht="19.5" customHeight="1" thickBot="1">
      <c r="A211" s="770"/>
      <c r="B211" s="772"/>
      <c r="C211" s="772"/>
      <c r="D211" s="774"/>
      <c r="E211" s="777"/>
      <c r="F211" s="25"/>
      <c r="G211" s="25">
        <f t="shared" si="29"/>
        <v>0</v>
      </c>
      <c r="H211" s="25"/>
      <c r="I211" s="26"/>
      <c r="J211" s="532">
        <v>0</v>
      </c>
      <c r="K211" s="25"/>
      <c r="L211" s="445" t="s">
        <v>51</v>
      </c>
      <c r="M211" s="856"/>
      <c r="N211" s="241"/>
    </row>
    <row r="212" spans="1:14" ht="20.25" customHeight="1" thickBot="1">
      <c r="A212" s="770"/>
      <c r="B212" s="772"/>
      <c r="C212" s="772"/>
      <c r="D212" s="774"/>
      <c r="E212" s="777"/>
      <c r="F212" s="12"/>
      <c r="G212" s="12">
        <f t="shared" si="29"/>
        <v>0</v>
      </c>
      <c r="H212" s="12"/>
      <c r="I212" s="13"/>
      <c r="J212" s="532">
        <v>0</v>
      </c>
      <c r="K212" s="12"/>
      <c r="L212" s="244" t="s">
        <v>83</v>
      </c>
      <c r="M212" s="856"/>
      <c r="N212" s="241"/>
    </row>
    <row r="213" spans="1:14" ht="21" customHeight="1" thickBot="1">
      <c r="A213" s="770"/>
      <c r="B213" s="772"/>
      <c r="C213" s="772"/>
      <c r="D213" s="774"/>
      <c r="E213" s="777"/>
      <c r="F213" s="12"/>
      <c r="G213" s="12">
        <f t="shared" si="29"/>
        <v>0</v>
      </c>
      <c r="H213" s="12"/>
      <c r="I213" s="13"/>
      <c r="J213" s="532">
        <v>0</v>
      </c>
      <c r="K213" s="12"/>
      <c r="L213" s="244" t="s">
        <v>84</v>
      </c>
      <c r="M213" s="856"/>
      <c r="N213" s="241"/>
    </row>
    <row r="214" spans="1:14" ht="20.25" customHeight="1" thickBot="1">
      <c r="A214" s="770"/>
      <c r="B214" s="772"/>
      <c r="C214" s="772"/>
      <c r="D214" s="774"/>
      <c r="E214" s="777"/>
      <c r="F214" s="12"/>
      <c r="G214" s="12">
        <f t="shared" si="29"/>
        <v>0</v>
      </c>
      <c r="H214" s="12"/>
      <c r="I214" s="13"/>
      <c r="J214" s="532">
        <v>0</v>
      </c>
      <c r="K214" s="12"/>
      <c r="L214" s="244" t="s">
        <v>85</v>
      </c>
      <c r="M214" s="856"/>
      <c r="N214" s="241"/>
    </row>
    <row r="215" spans="1:14" ht="21" customHeight="1" thickBot="1">
      <c r="A215" s="770"/>
      <c r="B215" s="772"/>
      <c r="C215" s="772"/>
      <c r="D215" s="774"/>
      <c r="E215" s="777"/>
      <c r="F215" s="12"/>
      <c r="G215" s="12">
        <f t="shared" si="29"/>
        <v>0</v>
      </c>
      <c r="H215" s="12"/>
      <c r="I215" s="13"/>
      <c r="J215" s="532">
        <v>0</v>
      </c>
      <c r="K215" s="12"/>
      <c r="L215" s="274" t="s">
        <v>300</v>
      </c>
      <c r="M215" s="856"/>
      <c r="N215" s="241"/>
    </row>
    <row r="216" spans="1:14" ht="18.75" customHeight="1" thickBot="1">
      <c r="A216" s="770"/>
      <c r="B216" s="772"/>
      <c r="C216" s="772"/>
      <c r="D216" s="774"/>
      <c r="E216" s="777"/>
      <c r="F216" s="12"/>
      <c r="G216" s="12">
        <f t="shared" si="29"/>
        <v>0</v>
      </c>
      <c r="H216" s="12"/>
      <c r="I216" s="13"/>
      <c r="J216" s="532">
        <v>0</v>
      </c>
      <c r="K216" s="12"/>
      <c r="L216" s="244" t="s">
        <v>87</v>
      </c>
      <c r="M216" s="856"/>
      <c r="N216" s="241"/>
    </row>
    <row r="217" spans="1:14" ht="17.25" customHeight="1" thickBot="1">
      <c r="A217" s="770"/>
      <c r="B217" s="772"/>
      <c r="C217" s="772"/>
      <c r="D217" s="774"/>
      <c r="E217" s="777"/>
      <c r="F217" s="27"/>
      <c r="G217" s="27">
        <f t="shared" si="29"/>
        <v>0</v>
      </c>
      <c r="H217" s="27"/>
      <c r="I217" s="28"/>
      <c r="J217" s="541">
        <v>0</v>
      </c>
      <c r="K217" s="27"/>
      <c r="L217" s="274" t="s">
        <v>88</v>
      </c>
      <c r="M217" s="856"/>
      <c r="N217" s="241"/>
    </row>
    <row r="218" spans="1:14" ht="24" customHeight="1" thickBot="1">
      <c r="A218" s="770"/>
      <c r="B218" s="772"/>
      <c r="C218" s="772"/>
      <c r="D218" s="778">
        <v>2022</v>
      </c>
      <c r="E218" s="779">
        <f>F218+G218+J218+K218</f>
        <v>0</v>
      </c>
      <c r="F218" s="453"/>
      <c r="G218" s="24">
        <f>SUM(G219:G225)</f>
        <v>0</v>
      </c>
      <c r="H218" s="24">
        <f>SUM(H219:H225)</f>
        <v>0</v>
      </c>
      <c r="I218" s="24">
        <f>SUM(I219:I225)</f>
        <v>0</v>
      </c>
      <c r="J218" s="548">
        <f>SUM(J219:J225)</f>
        <v>0</v>
      </c>
      <c r="K218" s="24">
        <f>SUM(K219:K225)</f>
        <v>0</v>
      </c>
      <c r="L218" s="435"/>
      <c r="M218" s="857"/>
      <c r="N218" s="241"/>
    </row>
    <row r="219" spans="1:14" ht="23.25" customHeight="1" thickBot="1">
      <c r="A219" s="770"/>
      <c r="B219" s="772"/>
      <c r="C219" s="772"/>
      <c r="D219" s="778"/>
      <c r="E219" s="779"/>
      <c r="F219" s="25"/>
      <c r="G219" s="25"/>
      <c r="H219" s="25"/>
      <c r="I219" s="26"/>
      <c r="J219" s="532">
        <v>0</v>
      </c>
      <c r="K219" s="25"/>
      <c r="L219" s="445" t="s">
        <v>51</v>
      </c>
      <c r="M219" s="857"/>
      <c r="N219" s="241"/>
    </row>
    <row r="220" spans="1:14" ht="24.75" customHeight="1" thickBot="1">
      <c r="A220" s="770"/>
      <c r="B220" s="772"/>
      <c r="C220" s="772"/>
      <c r="D220" s="778"/>
      <c r="E220" s="779"/>
      <c r="F220" s="12"/>
      <c r="G220" s="12"/>
      <c r="H220" s="12"/>
      <c r="I220" s="13"/>
      <c r="J220" s="532">
        <v>0</v>
      </c>
      <c r="K220" s="12"/>
      <c r="L220" s="244" t="s">
        <v>83</v>
      </c>
      <c r="M220" s="857"/>
      <c r="N220" s="241"/>
    </row>
    <row r="221" spans="1:14" ht="24.75" customHeight="1" thickBot="1">
      <c r="A221" s="770"/>
      <c r="B221" s="772"/>
      <c r="C221" s="772"/>
      <c r="D221" s="778"/>
      <c r="E221" s="779"/>
      <c r="F221" s="12"/>
      <c r="G221" s="12"/>
      <c r="H221" s="12"/>
      <c r="I221" s="13"/>
      <c r="J221" s="532">
        <v>0</v>
      </c>
      <c r="K221" s="12"/>
      <c r="L221" s="244" t="s">
        <v>84</v>
      </c>
      <c r="M221" s="857"/>
      <c r="N221" s="241"/>
    </row>
    <row r="222" spans="1:14" ht="24.75" customHeight="1" thickBot="1">
      <c r="A222" s="770"/>
      <c r="B222" s="772"/>
      <c r="C222" s="772"/>
      <c r="D222" s="778"/>
      <c r="E222" s="779"/>
      <c r="F222" s="12"/>
      <c r="G222" s="12"/>
      <c r="H222" s="12"/>
      <c r="I222" s="13"/>
      <c r="J222" s="532">
        <v>0</v>
      </c>
      <c r="K222" s="12"/>
      <c r="L222" s="244" t="s">
        <v>85</v>
      </c>
      <c r="M222" s="857"/>
      <c r="N222" s="241"/>
    </row>
    <row r="223" spans="1:14" ht="24.75" customHeight="1" thickBot="1">
      <c r="A223" s="770"/>
      <c r="B223" s="772"/>
      <c r="C223" s="772"/>
      <c r="D223" s="778"/>
      <c r="E223" s="779"/>
      <c r="F223" s="12"/>
      <c r="G223" s="12"/>
      <c r="H223" s="12"/>
      <c r="I223" s="13"/>
      <c r="J223" s="532">
        <v>0</v>
      </c>
      <c r="K223" s="12"/>
      <c r="L223" s="274" t="s">
        <v>300</v>
      </c>
      <c r="M223" s="857"/>
      <c r="N223" s="241"/>
    </row>
    <row r="224" spans="1:14" ht="24.75" customHeight="1" thickBot="1">
      <c r="A224" s="770"/>
      <c r="B224" s="772"/>
      <c r="C224" s="772"/>
      <c r="D224" s="778"/>
      <c r="E224" s="779"/>
      <c r="F224" s="12"/>
      <c r="G224" s="12"/>
      <c r="H224" s="12"/>
      <c r="I224" s="13"/>
      <c r="J224" s="532">
        <v>0</v>
      </c>
      <c r="K224" s="12"/>
      <c r="L224" s="244" t="s">
        <v>87</v>
      </c>
      <c r="M224" s="857"/>
      <c r="N224" s="241"/>
    </row>
    <row r="225" spans="1:14" ht="24.75" customHeight="1" thickBot="1">
      <c r="A225" s="770"/>
      <c r="B225" s="772"/>
      <c r="C225" s="772"/>
      <c r="D225" s="778"/>
      <c r="E225" s="779"/>
      <c r="F225" s="30"/>
      <c r="G225" s="30"/>
      <c r="H225" s="30"/>
      <c r="I225" s="31"/>
      <c r="J225" s="532">
        <v>0</v>
      </c>
      <c r="K225" s="30"/>
      <c r="L225" s="274" t="s">
        <v>88</v>
      </c>
      <c r="M225" s="857"/>
      <c r="N225" s="241"/>
    </row>
    <row r="226" spans="1:14" ht="24.75" customHeight="1" thickBot="1">
      <c r="A226" s="770"/>
      <c r="B226" s="772"/>
      <c r="C226" s="772"/>
      <c r="D226" s="23">
        <v>2023</v>
      </c>
      <c r="E226" s="32">
        <f>F226+G226+J226+K226</f>
        <v>4</v>
      </c>
      <c r="F226" s="24">
        <f>SUM(F227:F239)</f>
        <v>0</v>
      </c>
      <c r="G226" s="24">
        <f>H226+I226</f>
        <v>0</v>
      </c>
      <c r="H226" s="24">
        <f>SUM(H227:H239)</f>
        <v>0</v>
      </c>
      <c r="I226" s="24">
        <v>0</v>
      </c>
      <c r="J226" s="548">
        <f>J227</f>
        <v>4</v>
      </c>
      <c r="K226" s="24">
        <f>SUM(K227:K239)</f>
        <v>0</v>
      </c>
      <c r="L226" s="430"/>
      <c r="M226" s="857"/>
      <c r="N226" s="241"/>
    </row>
    <row r="227" spans="1:14" ht="24.75" customHeight="1">
      <c r="A227" s="770"/>
      <c r="B227" s="772"/>
      <c r="C227" s="772"/>
      <c r="D227" s="836"/>
      <c r="E227" s="781"/>
      <c r="F227" s="25"/>
      <c r="G227" s="25"/>
      <c r="H227" s="25"/>
      <c r="I227" s="26"/>
      <c r="J227" s="532">
        <v>4</v>
      </c>
      <c r="K227" s="25"/>
      <c r="L227" s="445" t="s">
        <v>51</v>
      </c>
      <c r="M227" s="857"/>
      <c r="N227" s="241"/>
    </row>
    <row r="228" spans="1:14" ht="24.75" customHeight="1">
      <c r="A228" s="770"/>
      <c r="B228" s="772"/>
      <c r="C228" s="772"/>
      <c r="D228" s="837"/>
      <c r="E228" s="783"/>
      <c r="F228" s="12"/>
      <c r="G228" s="12"/>
      <c r="H228" s="12"/>
      <c r="I228" s="13"/>
      <c r="J228" s="532">
        <v>0</v>
      </c>
      <c r="K228" s="12"/>
      <c r="L228" s="244" t="s">
        <v>83</v>
      </c>
      <c r="M228" s="857"/>
      <c r="N228" s="241"/>
    </row>
    <row r="229" spans="1:14" ht="24.75" customHeight="1">
      <c r="A229" s="770"/>
      <c r="B229" s="772"/>
      <c r="C229" s="772"/>
      <c r="D229" s="837"/>
      <c r="E229" s="783"/>
      <c r="F229" s="12"/>
      <c r="G229" s="12"/>
      <c r="H229" s="12"/>
      <c r="I229" s="13"/>
      <c r="J229" s="532">
        <v>0</v>
      </c>
      <c r="K229" s="12"/>
      <c r="L229" s="244" t="s">
        <v>84</v>
      </c>
      <c r="M229" s="857"/>
      <c r="N229" s="241"/>
    </row>
    <row r="230" spans="1:14" ht="24" customHeight="1">
      <c r="A230" s="770"/>
      <c r="B230" s="772"/>
      <c r="C230" s="772"/>
      <c r="D230" s="837"/>
      <c r="E230" s="783"/>
      <c r="F230" s="12"/>
      <c r="G230" s="12"/>
      <c r="H230" s="12"/>
      <c r="I230" s="13"/>
      <c r="J230" s="532">
        <v>0</v>
      </c>
      <c r="K230" s="12"/>
      <c r="L230" s="244" t="s">
        <v>85</v>
      </c>
      <c r="M230" s="857"/>
      <c r="N230" s="241"/>
    </row>
    <row r="231" spans="1:14" ht="24" customHeight="1" thickBot="1">
      <c r="A231" s="770"/>
      <c r="B231" s="772"/>
      <c r="C231" s="772"/>
      <c r="D231" s="837"/>
      <c r="E231" s="783"/>
      <c r="F231" s="12"/>
      <c r="G231" s="12"/>
      <c r="H231" s="12"/>
      <c r="I231" s="13"/>
      <c r="J231" s="532">
        <v>0</v>
      </c>
      <c r="K231" s="12"/>
      <c r="L231" s="274" t="s">
        <v>300</v>
      </c>
      <c r="M231" s="857"/>
      <c r="N231" s="241"/>
    </row>
    <row r="232" spans="1:14" ht="24" customHeight="1" thickBot="1">
      <c r="A232" s="770"/>
      <c r="B232" s="772"/>
      <c r="C232" s="772"/>
      <c r="D232" s="838"/>
      <c r="E232" s="839"/>
      <c r="F232" s="12"/>
      <c r="G232" s="12"/>
      <c r="H232" s="12"/>
      <c r="I232" s="13"/>
      <c r="J232" s="532">
        <v>0</v>
      </c>
      <c r="K232" s="12"/>
      <c r="L232" s="244" t="s">
        <v>87</v>
      </c>
      <c r="M232" s="857"/>
      <c r="N232" s="241"/>
    </row>
    <row r="233" spans="1:14" ht="24" customHeight="1" thickBot="1">
      <c r="A233" s="770"/>
      <c r="B233" s="772"/>
      <c r="C233" s="772"/>
      <c r="D233" s="23">
        <v>2024</v>
      </c>
      <c r="E233" s="32">
        <f>F233+G233+J233+K233</f>
        <v>5</v>
      </c>
      <c r="F233" s="24">
        <f>SUM(F234:F246)</f>
        <v>0</v>
      </c>
      <c r="G233" s="24">
        <f>H233+I233</f>
        <v>0</v>
      </c>
      <c r="H233" s="24">
        <f>SUM(H234:H246)</f>
        <v>0</v>
      </c>
      <c r="I233" s="24">
        <v>0</v>
      </c>
      <c r="J233" s="548">
        <f>J234</f>
        <v>5</v>
      </c>
      <c r="K233" s="24">
        <f>SUM(K234:K246)</f>
        <v>0</v>
      </c>
      <c r="L233" s="430"/>
      <c r="M233" s="857"/>
      <c r="N233" s="241"/>
    </row>
    <row r="234" spans="1:14" ht="24" customHeight="1">
      <c r="A234" s="770"/>
      <c r="B234" s="772"/>
      <c r="C234" s="772"/>
      <c r="D234" s="836"/>
      <c r="E234" s="781"/>
      <c r="F234" s="30"/>
      <c r="G234" s="30"/>
      <c r="H234" s="30"/>
      <c r="I234" s="31"/>
      <c r="J234" s="532">
        <v>5</v>
      </c>
      <c r="K234" s="30"/>
      <c r="L234" s="445" t="s">
        <v>51</v>
      </c>
      <c r="M234" s="857"/>
      <c r="N234" s="241"/>
    </row>
    <row r="235" spans="1:14" ht="24" customHeight="1" thickBot="1">
      <c r="A235" s="770"/>
      <c r="B235" s="772"/>
      <c r="C235" s="772"/>
      <c r="D235" s="838"/>
      <c r="E235" s="839"/>
      <c r="F235" s="30"/>
      <c r="G235" s="30"/>
      <c r="H235" s="30"/>
      <c r="I235" s="31"/>
      <c r="J235" s="532">
        <v>0</v>
      </c>
      <c r="K235" s="30"/>
      <c r="L235" s="449"/>
      <c r="M235" s="857"/>
      <c r="N235" s="241"/>
    </row>
    <row r="236" spans="1:14" ht="24" customHeight="1" thickBot="1">
      <c r="A236" s="770"/>
      <c r="B236" s="772"/>
      <c r="C236" s="772"/>
      <c r="D236" s="23">
        <v>2025</v>
      </c>
      <c r="E236" s="32">
        <f>F236+G236+J236+K236</f>
        <v>5</v>
      </c>
      <c r="F236" s="24">
        <f>SUM(F237:F249)</f>
        <v>0</v>
      </c>
      <c r="G236" s="24">
        <f>H236+I236</f>
        <v>0</v>
      </c>
      <c r="H236" s="24">
        <f>SUM(H237:H249)</f>
        <v>0</v>
      </c>
      <c r="I236" s="24">
        <v>0</v>
      </c>
      <c r="J236" s="548">
        <f>J237</f>
        <v>5</v>
      </c>
      <c r="K236" s="24">
        <f>SUM(K237:K249)</f>
        <v>0</v>
      </c>
      <c r="L236" s="430"/>
      <c r="M236" s="857"/>
      <c r="N236" s="241"/>
    </row>
    <row r="237" spans="1:14" ht="24" customHeight="1">
      <c r="A237" s="770"/>
      <c r="B237" s="772"/>
      <c r="C237" s="772"/>
      <c r="D237" s="836"/>
      <c r="E237" s="781"/>
      <c r="F237" s="30"/>
      <c r="G237" s="30"/>
      <c r="H237" s="30"/>
      <c r="I237" s="31"/>
      <c r="J237" s="532">
        <v>5</v>
      </c>
      <c r="K237" s="30"/>
      <c r="L237" s="445" t="s">
        <v>51</v>
      </c>
      <c r="M237" s="857"/>
      <c r="N237" s="241"/>
    </row>
    <row r="238" spans="1:14" ht="24" customHeight="1" hidden="1">
      <c r="A238" s="770"/>
      <c r="B238" s="772"/>
      <c r="C238" s="772"/>
      <c r="D238" s="837"/>
      <c r="E238" s="783"/>
      <c r="F238" s="30"/>
      <c r="G238" s="30"/>
      <c r="H238" s="30"/>
      <c r="I238" s="31"/>
      <c r="J238" s="532">
        <v>0</v>
      </c>
      <c r="K238" s="30"/>
      <c r="L238" s="449"/>
      <c r="M238" s="857"/>
      <c r="N238" s="241"/>
    </row>
    <row r="239" spans="1:14" ht="24.75" customHeight="1" thickBot="1">
      <c r="A239" s="770"/>
      <c r="B239" s="772"/>
      <c r="C239" s="772"/>
      <c r="D239" s="838"/>
      <c r="E239" s="839"/>
      <c r="F239" s="30"/>
      <c r="G239" s="30"/>
      <c r="H239" s="30"/>
      <c r="I239" s="31"/>
      <c r="J239" s="532">
        <v>0</v>
      </c>
      <c r="K239" s="30"/>
      <c r="L239" s="274" t="s">
        <v>88</v>
      </c>
      <c r="M239" s="858"/>
      <c r="N239" s="241"/>
    </row>
    <row r="240" spans="1:14" ht="33" customHeight="1" thickBot="1">
      <c r="A240" s="765" t="s">
        <v>91</v>
      </c>
      <c r="B240" s="766" t="s">
        <v>338</v>
      </c>
      <c r="C240" s="766"/>
      <c r="D240" s="127">
        <v>2017</v>
      </c>
      <c r="E240" s="9">
        <f aca="true" t="shared" si="30" ref="E240:E250">F240+G240+J240+K240</f>
        <v>169.78</v>
      </c>
      <c r="F240" s="9"/>
      <c r="G240" s="9">
        <f aca="true" t="shared" si="31" ref="G240:G253">H240+I240</f>
        <v>155.2</v>
      </c>
      <c r="H240" s="9"/>
      <c r="I240" s="9">
        <v>155.2</v>
      </c>
      <c r="J240" s="534">
        <f>15-0.42</f>
        <v>14.58</v>
      </c>
      <c r="K240" s="9"/>
      <c r="L240" s="280" t="s">
        <v>79</v>
      </c>
      <c r="M240" s="701" t="s">
        <v>92</v>
      </c>
      <c r="N240" s="241"/>
    </row>
    <row r="241" spans="1:14" ht="31.5" customHeight="1" thickBot="1">
      <c r="A241" s="765"/>
      <c r="B241" s="766"/>
      <c r="C241" s="766"/>
      <c r="D241" s="57">
        <v>2018</v>
      </c>
      <c r="E241" s="12">
        <f t="shared" si="30"/>
        <v>162.2</v>
      </c>
      <c r="F241" s="12"/>
      <c r="G241" s="12">
        <f t="shared" si="31"/>
        <v>162.2</v>
      </c>
      <c r="H241" s="12"/>
      <c r="I241" s="12">
        <v>162.2</v>
      </c>
      <c r="J241" s="532"/>
      <c r="K241" s="12"/>
      <c r="L241" s="280" t="s">
        <v>79</v>
      </c>
      <c r="M241" s="701"/>
      <c r="N241" s="241"/>
    </row>
    <row r="242" spans="1:14" ht="27.75" customHeight="1" thickBot="1">
      <c r="A242" s="765"/>
      <c r="B242" s="766"/>
      <c r="C242" s="766"/>
      <c r="D242" s="57">
        <v>2019</v>
      </c>
      <c r="E242" s="12">
        <f t="shared" si="30"/>
        <v>481.1</v>
      </c>
      <c r="F242" s="12"/>
      <c r="G242" s="12">
        <f t="shared" si="31"/>
        <v>481.1</v>
      </c>
      <c r="H242" s="12"/>
      <c r="I242" s="12">
        <v>481.1</v>
      </c>
      <c r="J242" s="532"/>
      <c r="K242" s="12"/>
      <c r="L242" s="280" t="s">
        <v>79</v>
      </c>
      <c r="M242" s="701"/>
      <c r="N242" s="241"/>
    </row>
    <row r="243" spans="1:14" ht="24" customHeight="1" thickBot="1">
      <c r="A243" s="765"/>
      <c r="B243" s="766"/>
      <c r="C243" s="766"/>
      <c r="D243" s="57">
        <v>2020</v>
      </c>
      <c r="E243" s="12">
        <f t="shared" si="30"/>
        <v>163.2</v>
      </c>
      <c r="F243" s="12"/>
      <c r="G243" s="12">
        <f t="shared" si="31"/>
        <v>163.2</v>
      </c>
      <c r="H243" s="12"/>
      <c r="I243" s="12">
        <v>163.2</v>
      </c>
      <c r="J243" s="532"/>
      <c r="K243" s="12"/>
      <c r="L243" s="280" t="s">
        <v>79</v>
      </c>
      <c r="M243" s="701"/>
      <c r="N243" s="241"/>
    </row>
    <row r="244" spans="1:14" ht="24.75" customHeight="1" thickBot="1">
      <c r="A244" s="765"/>
      <c r="B244" s="766"/>
      <c r="C244" s="766"/>
      <c r="D244" s="57">
        <v>2021</v>
      </c>
      <c r="E244" s="12">
        <f t="shared" si="30"/>
        <v>0</v>
      </c>
      <c r="F244" s="12"/>
      <c r="G244" s="12">
        <f t="shared" si="31"/>
        <v>0</v>
      </c>
      <c r="H244" s="12"/>
      <c r="I244" s="12">
        <v>0</v>
      </c>
      <c r="J244" s="532"/>
      <c r="K244" s="12"/>
      <c r="L244" s="280" t="s">
        <v>79</v>
      </c>
      <c r="M244" s="701"/>
      <c r="N244" s="241"/>
    </row>
    <row r="245" spans="1:14" ht="46.5" customHeight="1" thickBot="1">
      <c r="A245" s="765"/>
      <c r="B245" s="766"/>
      <c r="C245" s="766"/>
      <c r="D245" s="6">
        <v>2022</v>
      </c>
      <c r="E245" s="12">
        <f t="shared" si="30"/>
        <v>0</v>
      </c>
      <c r="F245" s="12"/>
      <c r="G245" s="12">
        <f t="shared" si="31"/>
        <v>0</v>
      </c>
      <c r="H245" s="12"/>
      <c r="I245" s="12">
        <v>0</v>
      </c>
      <c r="J245" s="532"/>
      <c r="K245" s="12"/>
      <c r="L245" s="280" t="s">
        <v>79</v>
      </c>
      <c r="M245" s="701"/>
      <c r="N245" s="241"/>
    </row>
    <row r="246" spans="1:14" ht="30" customHeight="1" thickBot="1">
      <c r="A246" s="765"/>
      <c r="B246" s="766"/>
      <c r="C246" s="766"/>
      <c r="D246" s="128">
        <v>2023</v>
      </c>
      <c r="E246" s="116">
        <f t="shared" si="30"/>
        <v>0</v>
      </c>
      <c r="F246" s="116"/>
      <c r="G246" s="116">
        <f t="shared" si="31"/>
        <v>0</v>
      </c>
      <c r="H246" s="116"/>
      <c r="I246" s="116">
        <v>0</v>
      </c>
      <c r="J246" s="540"/>
      <c r="K246" s="116"/>
      <c r="L246" s="280" t="s">
        <v>79</v>
      </c>
      <c r="M246" s="246"/>
      <c r="N246" s="241"/>
    </row>
    <row r="247" spans="1:14" ht="46.5" customHeight="1" thickBot="1">
      <c r="A247" s="130" t="s">
        <v>93</v>
      </c>
      <c r="B247" s="766" t="s">
        <v>94</v>
      </c>
      <c r="C247" s="766"/>
      <c r="D247" s="72">
        <v>2019</v>
      </c>
      <c r="E247" s="24">
        <f t="shared" si="30"/>
        <v>96.58</v>
      </c>
      <c r="F247" s="24"/>
      <c r="G247" s="24">
        <f t="shared" si="31"/>
        <v>0</v>
      </c>
      <c r="H247" s="24"/>
      <c r="I247" s="24"/>
      <c r="J247" s="548">
        <v>96.58</v>
      </c>
      <c r="K247" s="24"/>
      <c r="L247" s="290" t="s">
        <v>95</v>
      </c>
      <c r="M247" s="246"/>
      <c r="N247" s="241"/>
    </row>
    <row r="248" spans="1:14" ht="78.75" customHeight="1" thickBot="1">
      <c r="A248" s="131" t="s">
        <v>96</v>
      </c>
      <c r="B248" s="767" t="s">
        <v>97</v>
      </c>
      <c r="C248" s="767"/>
      <c r="D248" s="132">
        <v>2017</v>
      </c>
      <c r="E248" s="100">
        <f t="shared" si="30"/>
        <v>2375.768</v>
      </c>
      <c r="F248" s="100"/>
      <c r="G248" s="100">
        <f t="shared" si="31"/>
        <v>0</v>
      </c>
      <c r="H248" s="133"/>
      <c r="I248" s="133"/>
      <c r="J248" s="537">
        <v>2375.768</v>
      </c>
      <c r="K248" s="100"/>
      <c r="L248" s="273" t="s">
        <v>302</v>
      </c>
      <c r="M248" s="246" t="s">
        <v>98</v>
      </c>
      <c r="N248" s="241"/>
    </row>
    <row r="249" spans="1:14" s="55" customFormat="1" ht="46.5" customHeight="1" thickBot="1">
      <c r="A249" s="859" t="s">
        <v>99</v>
      </c>
      <c r="B249" s="768" t="s">
        <v>100</v>
      </c>
      <c r="C249" s="768"/>
      <c r="D249" s="134">
        <v>2019</v>
      </c>
      <c r="E249" s="9">
        <f t="shared" si="30"/>
        <v>720</v>
      </c>
      <c r="F249" s="9"/>
      <c r="G249" s="9">
        <f t="shared" si="31"/>
        <v>390</v>
      </c>
      <c r="H249" s="9">
        <v>0</v>
      </c>
      <c r="I249" s="9">
        <f>I251</f>
        <v>390</v>
      </c>
      <c r="J249" s="534">
        <f>330.278-0.278</f>
        <v>330</v>
      </c>
      <c r="K249" s="9"/>
      <c r="L249" s="291" t="s">
        <v>303</v>
      </c>
      <c r="M249" s="302"/>
      <c r="N249" s="296"/>
    </row>
    <row r="250" spans="1:14" ht="37.5" customHeight="1" thickBot="1">
      <c r="A250" s="787"/>
      <c r="B250" s="768"/>
      <c r="C250" s="768"/>
      <c r="D250" s="4">
        <v>2021</v>
      </c>
      <c r="E250" s="9">
        <f t="shared" si="30"/>
        <v>0</v>
      </c>
      <c r="F250" s="12"/>
      <c r="G250" s="9">
        <f t="shared" si="31"/>
        <v>0</v>
      </c>
      <c r="H250" s="13"/>
      <c r="I250" s="13"/>
      <c r="J250" s="532"/>
      <c r="K250" s="12"/>
      <c r="L250" s="141"/>
      <c r="M250" s="246"/>
      <c r="N250" s="241"/>
    </row>
    <row r="251" spans="1:14" ht="38.25" customHeight="1" thickBot="1">
      <c r="A251" s="860"/>
      <c r="B251" s="768"/>
      <c r="C251" s="768"/>
      <c r="D251" s="135">
        <v>2022</v>
      </c>
      <c r="E251" s="9">
        <f>J251+I251</f>
        <v>410.53</v>
      </c>
      <c r="F251" s="27"/>
      <c r="G251" s="9">
        <f t="shared" si="31"/>
        <v>390</v>
      </c>
      <c r="H251" s="28">
        <v>0</v>
      </c>
      <c r="I251" s="28">
        <v>390</v>
      </c>
      <c r="J251" s="541">
        <v>20.53</v>
      </c>
      <c r="K251" s="27"/>
      <c r="L251" s="280" t="s">
        <v>77</v>
      </c>
      <c r="M251" s="246"/>
      <c r="N251" s="241"/>
    </row>
    <row r="252" spans="1:14" ht="91.5" customHeight="1" thickBot="1">
      <c r="A252" s="136" t="s">
        <v>101</v>
      </c>
      <c r="B252" s="757" t="s">
        <v>297</v>
      </c>
      <c r="C252" s="757"/>
      <c r="D252" s="137">
        <v>2019</v>
      </c>
      <c r="E252" s="138">
        <f>F252+G252+J252+K252</f>
        <v>80.293</v>
      </c>
      <c r="F252" s="116"/>
      <c r="G252" s="129">
        <f t="shared" si="31"/>
        <v>0</v>
      </c>
      <c r="H252" s="129">
        <v>0</v>
      </c>
      <c r="I252" s="129">
        <v>0</v>
      </c>
      <c r="J252" s="540">
        <f>19+61.293</f>
        <v>80.293</v>
      </c>
      <c r="K252" s="116">
        <v>0</v>
      </c>
      <c r="L252" s="292" t="s">
        <v>51</v>
      </c>
      <c r="M252" s="246" t="s">
        <v>102</v>
      </c>
      <c r="N252" s="241"/>
    </row>
    <row r="253" spans="1:14" ht="253.5" customHeight="1" thickBot="1">
      <c r="A253" s="33" t="s">
        <v>103</v>
      </c>
      <c r="B253" s="758" t="s">
        <v>104</v>
      </c>
      <c r="C253" s="758"/>
      <c r="D253" s="139">
        <v>2019</v>
      </c>
      <c r="E253" s="140">
        <f>F253+G253+J253+K253</f>
        <v>0</v>
      </c>
      <c r="F253" s="24"/>
      <c r="G253" s="140">
        <f t="shared" si="31"/>
        <v>0</v>
      </c>
      <c r="H253" s="140">
        <v>0</v>
      </c>
      <c r="I253" s="140">
        <v>0</v>
      </c>
      <c r="J253" s="548">
        <v>0</v>
      </c>
      <c r="K253" s="24">
        <v>0</v>
      </c>
      <c r="L253" s="290" t="s">
        <v>105</v>
      </c>
      <c r="M253" s="246" t="s">
        <v>106</v>
      </c>
      <c r="N253" s="241"/>
    </row>
    <row r="254" spans="1:14" ht="31.5" customHeight="1" thickBot="1">
      <c r="A254" s="759" t="s">
        <v>107</v>
      </c>
      <c r="B254" s="760" t="s">
        <v>108</v>
      </c>
      <c r="C254" s="760"/>
      <c r="D254" s="47">
        <v>2020</v>
      </c>
      <c r="E254" s="24">
        <f aca="true" t="shared" si="32" ref="E254:J254">SUM(E255:E262)</f>
        <v>2891.4799999999996</v>
      </c>
      <c r="F254" s="24">
        <f t="shared" si="32"/>
        <v>0</v>
      </c>
      <c r="G254" s="24">
        <f t="shared" si="32"/>
        <v>956</v>
      </c>
      <c r="H254" s="24">
        <f t="shared" si="32"/>
        <v>0</v>
      </c>
      <c r="I254" s="24">
        <f t="shared" si="32"/>
        <v>956</v>
      </c>
      <c r="J254" s="548">
        <f t="shared" si="32"/>
        <v>1935.48</v>
      </c>
      <c r="K254" s="24">
        <f>SUM(K255:K264)</f>
        <v>0</v>
      </c>
      <c r="L254" s="290"/>
      <c r="M254" s="246"/>
      <c r="N254" s="241"/>
    </row>
    <row r="255" spans="1:14" ht="35.25" customHeight="1" thickBot="1">
      <c r="A255" s="759"/>
      <c r="B255" s="760"/>
      <c r="C255" s="760"/>
      <c r="D255" s="16" t="s">
        <v>87</v>
      </c>
      <c r="E255" s="31">
        <f aca="true" t="shared" si="33" ref="E255:E263">F255+G255+J255+K255</f>
        <v>686.374</v>
      </c>
      <c r="F255" s="100"/>
      <c r="G255" s="26">
        <f aca="true" t="shared" si="34" ref="G255:G263">H255+I255</f>
        <v>0</v>
      </c>
      <c r="H255" s="99"/>
      <c r="I255" s="99">
        <v>0</v>
      </c>
      <c r="J255" s="537">
        <f>773.274-86.9</f>
        <v>686.374</v>
      </c>
      <c r="K255" s="100"/>
      <c r="L255" s="273" t="s">
        <v>304</v>
      </c>
      <c r="M255" s="661" t="s">
        <v>109</v>
      </c>
      <c r="N255" s="249"/>
    </row>
    <row r="256" spans="1:14" ht="36" customHeight="1" thickBot="1">
      <c r="A256" s="759"/>
      <c r="B256" s="760"/>
      <c r="C256" s="760"/>
      <c r="D256" s="16" t="s">
        <v>87</v>
      </c>
      <c r="E256" s="31">
        <f t="shared" si="33"/>
        <v>668.4</v>
      </c>
      <c r="F256" s="12"/>
      <c r="G256" s="13">
        <f t="shared" si="34"/>
        <v>581.5</v>
      </c>
      <c r="H256" s="13"/>
      <c r="I256" s="13">
        <v>581.5</v>
      </c>
      <c r="J256" s="532">
        <v>86.9</v>
      </c>
      <c r="K256" s="12"/>
      <c r="L256" s="244" t="s">
        <v>305</v>
      </c>
      <c r="M256" s="661"/>
      <c r="N256" s="249"/>
    </row>
    <row r="257" spans="1:14" ht="31.5" customHeight="1" thickBot="1">
      <c r="A257" s="759"/>
      <c r="B257" s="760"/>
      <c r="C257" s="760"/>
      <c r="D257" s="272" t="s">
        <v>79</v>
      </c>
      <c r="E257" s="31">
        <f t="shared" si="33"/>
        <v>958.006</v>
      </c>
      <c r="F257" s="12"/>
      <c r="G257" s="13">
        <f t="shared" si="34"/>
        <v>0</v>
      </c>
      <c r="H257" s="13"/>
      <c r="I257" s="13">
        <v>0</v>
      </c>
      <c r="J257" s="532">
        <f>1014.006-56</f>
        <v>958.006</v>
      </c>
      <c r="K257" s="12"/>
      <c r="L257" s="273" t="s">
        <v>306</v>
      </c>
      <c r="M257" s="661"/>
      <c r="N257" s="249"/>
    </row>
    <row r="258" spans="1:14" ht="46.5" customHeight="1" thickBot="1">
      <c r="A258" s="759"/>
      <c r="B258" s="760"/>
      <c r="C258" s="760"/>
      <c r="D258" s="272" t="s">
        <v>79</v>
      </c>
      <c r="E258" s="31">
        <f t="shared" si="33"/>
        <v>430.5</v>
      </c>
      <c r="F258" s="25"/>
      <c r="G258" s="13">
        <f t="shared" si="34"/>
        <v>374.5</v>
      </c>
      <c r="H258" s="26"/>
      <c r="I258" s="26">
        <v>374.5</v>
      </c>
      <c r="J258" s="535">
        <v>56</v>
      </c>
      <c r="K258" s="25"/>
      <c r="L258" s="244" t="s">
        <v>307</v>
      </c>
      <c r="M258" s="661"/>
      <c r="N258" s="249"/>
    </row>
    <row r="259" spans="1:14" ht="50.25" customHeight="1" thickBot="1">
      <c r="A259" s="759"/>
      <c r="B259" s="760"/>
      <c r="C259" s="760"/>
      <c r="D259" s="16" t="s">
        <v>83</v>
      </c>
      <c r="E259" s="31">
        <f t="shared" si="33"/>
        <v>0</v>
      </c>
      <c r="F259" s="12"/>
      <c r="G259" s="13">
        <f t="shared" si="34"/>
        <v>0</v>
      </c>
      <c r="H259" s="13"/>
      <c r="I259" s="13">
        <v>0</v>
      </c>
      <c r="J259" s="532">
        <v>0</v>
      </c>
      <c r="K259" s="12"/>
      <c r="L259" s="244" t="s">
        <v>308</v>
      </c>
      <c r="M259" s="661"/>
      <c r="N259" s="249"/>
    </row>
    <row r="260" spans="1:14" ht="48" customHeight="1" thickBot="1">
      <c r="A260" s="759"/>
      <c r="B260" s="760"/>
      <c r="C260" s="760"/>
      <c r="D260" s="16" t="s">
        <v>84</v>
      </c>
      <c r="E260" s="31">
        <f t="shared" si="33"/>
        <v>0</v>
      </c>
      <c r="F260" s="12"/>
      <c r="G260" s="13">
        <f t="shared" si="34"/>
        <v>0</v>
      </c>
      <c r="H260" s="13"/>
      <c r="I260" s="13">
        <v>0</v>
      </c>
      <c r="J260" s="532">
        <v>0</v>
      </c>
      <c r="K260" s="12"/>
      <c r="L260" s="244" t="s">
        <v>309</v>
      </c>
      <c r="M260" s="661"/>
      <c r="N260" s="249"/>
    </row>
    <row r="261" spans="1:14" ht="55.5" customHeight="1" thickBot="1">
      <c r="A261" s="759"/>
      <c r="B261" s="760"/>
      <c r="C261" s="760"/>
      <c r="D261" s="16" t="s">
        <v>85</v>
      </c>
      <c r="E261" s="31">
        <f t="shared" si="33"/>
        <v>0</v>
      </c>
      <c r="F261" s="12"/>
      <c r="G261" s="13">
        <f t="shared" si="34"/>
        <v>0</v>
      </c>
      <c r="H261" s="13"/>
      <c r="I261" s="13">
        <v>0</v>
      </c>
      <c r="J261" s="532">
        <v>0</v>
      </c>
      <c r="K261" s="12"/>
      <c r="L261" s="244" t="s">
        <v>310</v>
      </c>
      <c r="M261" s="661"/>
      <c r="N261" s="249"/>
    </row>
    <row r="262" spans="1:14" ht="53.25" customHeight="1" thickBot="1">
      <c r="A262" s="759"/>
      <c r="B262" s="760"/>
      <c r="C262" s="760"/>
      <c r="D262" s="29" t="s">
        <v>300</v>
      </c>
      <c r="E262" s="31">
        <f t="shared" si="33"/>
        <v>148.2</v>
      </c>
      <c r="F262" s="30"/>
      <c r="G262" s="13">
        <f t="shared" si="34"/>
        <v>0</v>
      </c>
      <c r="H262" s="31"/>
      <c r="I262" s="13">
        <v>0</v>
      </c>
      <c r="J262" s="532">
        <v>148.2</v>
      </c>
      <c r="K262" s="30"/>
      <c r="L262" s="274" t="s">
        <v>311</v>
      </c>
      <c r="M262" s="661"/>
      <c r="N262" s="249"/>
    </row>
    <row r="263" spans="1:14" ht="36" customHeight="1" thickBot="1">
      <c r="A263" s="759"/>
      <c r="B263" s="760"/>
      <c r="C263" s="760"/>
      <c r="D263" s="41"/>
      <c r="E263" s="30">
        <f t="shared" si="33"/>
        <v>151.8</v>
      </c>
      <c r="F263" s="30"/>
      <c r="G263" s="12">
        <f t="shared" si="34"/>
        <v>0</v>
      </c>
      <c r="H263" s="30"/>
      <c r="I263" s="12">
        <v>0</v>
      </c>
      <c r="J263" s="532">
        <f>J264</f>
        <v>151.8</v>
      </c>
      <c r="K263" s="30"/>
      <c r="L263" s="293"/>
      <c r="M263" s="661"/>
      <c r="N263" s="249"/>
    </row>
    <row r="264" spans="1:14" ht="31.5" customHeight="1" thickBot="1">
      <c r="A264" s="759"/>
      <c r="B264" s="760"/>
      <c r="C264" s="760"/>
      <c r="D264" s="144"/>
      <c r="E264" s="31">
        <f>J264+I264+G264</f>
        <v>151.8</v>
      </c>
      <c r="F264" s="28"/>
      <c r="G264" s="13">
        <v>0</v>
      </c>
      <c r="H264" s="31"/>
      <c r="I264" s="13">
        <v>0</v>
      </c>
      <c r="J264" s="541">
        <v>151.8</v>
      </c>
      <c r="K264" s="27"/>
      <c r="L264" s="145" t="s">
        <v>51</v>
      </c>
      <c r="M264" s="661"/>
      <c r="N264" s="249"/>
    </row>
    <row r="265" spans="1:14" ht="59.25" customHeight="1" thickBot="1">
      <c r="A265" s="33"/>
      <c r="B265" s="760" t="s">
        <v>349</v>
      </c>
      <c r="C265" s="764"/>
      <c r="D265" s="376">
        <v>2022</v>
      </c>
      <c r="E265" s="31">
        <f>F265+G265+J265+K265</f>
        <v>45</v>
      </c>
      <c r="F265" s="12"/>
      <c r="G265" s="13">
        <f>H265+I265</f>
        <v>0</v>
      </c>
      <c r="H265" s="13"/>
      <c r="I265" s="13">
        <v>0</v>
      </c>
      <c r="J265" s="532">
        <v>45</v>
      </c>
      <c r="K265" s="12"/>
      <c r="L265" s="145" t="s">
        <v>51</v>
      </c>
      <c r="M265" s="242"/>
      <c r="N265" s="249"/>
    </row>
    <row r="266" spans="1:14" ht="34.5" customHeight="1" thickBot="1">
      <c r="A266" s="761"/>
      <c r="B266" s="762" t="s">
        <v>110</v>
      </c>
      <c r="C266" s="762"/>
      <c r="D266" s="146">
        <v>2017</v>
      </c>
      <c r="E266" s="9">
        <f aca="true" t="shared" si="35" ref="E266:K266">E57+E84+E90+E100+E109+E119+E125+E240+E248</f>
        <v>3516.342</v>
      </c>
      <c r="F266" s="9">
        <f t="shared" si="35"/>
        <v>0</v>
      </c>
      <c r="G266" s="9">
        <f t="shared" si="35"/>
        <v>205.2</v>
      </c>
      <c r="H266" s="9">
        <f t="shared" si="35"/>
        <v>0</v>
      </c>
      <c r="I266" s="9">
        <f t="shared" si="35"/>
        <v>205.2</v>
      </c>
      <c r="J266" s="534">
        <f t="shared" si="35"/>
        <v>3311.142</v>
      </c>
      <c r="K266" s="9">
        <f t="shared" si="35"/>
        <v>0</v>
      </c>
      <c r="L266" s="147"/>
      <c r="M266" s="763"/>
      <c r="N266" s="297"/>
    </row>
    <row r="267" spans="1:14" ht="32.25" customHeight="1" thickBot="1">
      <c r="A267" s="761"/>
      <c r="B267" s="762"/>
      <c r="C267" s="762"/>
      <c r="D267" s="148">
        <v>2018</v>
      </c>
      <c r="E267" s="12">
        <f aca="true" t="shared" si="36" ref="E267:K267">E58+E85+E91+E101+E111+E120+E132+E241</f>
        <v>3449.7360099999996</v>
      </c>
      <c r="F267" s="12">
        <f t="shared" si="36"/>
        <v>0</v>
      </c>
      <c r="G267" s="12">
        <f t="shared" si="36"/>
        <v>162.2</v>
      </c>
      <c r="H267" s="12">
        <f t="shared" si="36"/>
        <v>0</v>
      </c>
      <c r="I267" s="12">
        <f t="shared" si="36"/>
        <v>162.2</v>
      </c>
      <c r="J267" s="532">
        <f t="shared" si="36"/>
        <v>3287.53601</v>
      </c>
      <c r="K267" s="12">
        <f t="shared" si="36"/>
        <v>0</v>
      </c>
      <c r="L267" s="35"/>
      <c r="M267" s="763"/>
      <c r="N267" s="297"/>
    </row>
    <row r="268" spans="1:14" ht="32.25" customHeight="1" thickBot="1">
      <c r="A268" s="761"/>
      <c r="B268" s="762"/>
      <c r="C268" s="762"/>
      <c r="D268" s="148">
        <v>2019</v>
      </c>
      <c r="E268" s="12">
        <f aca="true" t="shared" si="37" ref="E268:K268">E59+E86+E93+E102+E112+E121+E140+E195+E242+E247+E249+E252+E253</f>
        <v>2242.043</v>
      </c>
      <c r="F268" s="12">
        <f t="shared" si="37"/>
        <v>0</v>
      </c>
      <c r="G268" s="12">
        <f t="shared" si="37"/>
        <v>921.1</v>
      </c>
      <c r="H268" s="12">
        <f t="shared" si="37"/>
        <v>0</v>
      </c>
      <c r="I268" s="12">
        <f t="shared" si="37"/>
        <v>921.1</v>
      </c>
      <c r="J268" s="532">
        <f t="shared" si="37"/>
        <v>1320.9430000000002</v>
      </c>
      <c r="K268" s="12">
        <f t="shared" si="37"/>
        <v>0</v>
      </c>
      <c r="L268" s="35"/>
      <c r="M268" s="763"/>
      <c r="N268" s="297"/>
    </row>
    <row r="269" spans="1:14" ht="32.25" customHeight="1" thickBot="1">
      <c r="A269" s="761"/>
      <c r="B269" s="762"/>
      <c r="C269" s="762"/>
      <c r="D269" s="148">
        <v>2020</v>
      </c>
      <c r="E269" s="12">
        <f aca="true" t="shared" si="38" ref="E269:K269">E60+E87+E94+E103+E113+E122+E148+E202+E243+E45+E254+E54</f>
        <v>4781.339999999999</v>
      </c>
      <c r="F269" s="12">
        <f t="shared" si="38"/>
        <v>0</v>
      </c>
      <c r="G269" s="12">
        <f t="shared" si="38"/>
        <v>2236.2</v>
      </c>
      <c r="H269" s="12">
        <f t="shared" si="38"/>
        <v>1094.7</v>
      </c>
      <c r="I269" s="12">
        <f t="shared" si="38"/>
        <v>1141.5</v>
      </c>
      <c r="J269" s="532">
        <f t="shared" si="38"/>
        <v>2545.14</v>
      </c>
      <c r="K269" s="12">
        <f t="shared" si="38"/>
        <v>0</v>
      </c>
      <c r="L269" s="35"/>
      <c r="M269" s="763"/>
      <c r="N269" s="297"/>
    </row>
    <row r="270" spans="1:14" ht="32.25" customHeight="1" thickBot="1">
      <c r="A270" s="761"/>
      <c r="B270" s="762"/>
      <c r="C270" s="762"/>
      <c r="D270" s="34">
        <v>2021</v>
      </c>
      <c r="E270" s="12">
        <f aca="true" t="shared" si="39" ref="E270:J270">E46+E55+E61+E88+E95+E104+E114+E123+E156+E210+E244+E251</f>
        <v>8586.49955</v>
      </c>
      <c r="F270" s="12">
        <f t="shared" si="39"/>
        <v>0</v>
      </c>
      <c r="G270" s="12">
        <f t="shared" si="39"/>
        <v>7067.9</v>
      </c>
      <c r="H270" s="12">
        <f t="shared" si="39"/>
        <v>6570.9</v>
      </c>
      <c r="I270" s="12">
        <f t="shared" si="39"/>
        <v>497</v>
      </c>
      <c r="J270" s="532">
        <f t="shared" si="39"/>
        <v>1518.59955</v>
      </c>
      <c r="K270" s="12">
        <f>K46+K55+K61+K88+K95+K104+K114+K123+K156+K210+K244+K263+K251+K79+K70</f>
        <v>0</v>
      </c>
      <c r="L270" s="35"/>
      <c r="M270" s="763"/>
      <c r="N270" s="297"/>
    </row>
    <row r="271" spans="1:14" ht="29.25" customHeight="1" thickBot="1">
      <c r="A271" s="761"/>
      <c r="B271" s="762"/>
      <c r="C271" s="762"/>
      <c r="D271" s="34">
        <v>2022</v>
      </c>
      <c r="E271" s="12">
        <f>E47+E62+E89+E165+E218+E245+E251+E265</f>
        <v>2358.33172</v>
      </c>
      <c r="F271" s="12">
        <f>F47+F62+F89+F105+F165+F218+F245+F251+F265</f>
        <v>0</v>
      </c>
      <c r="G271" s="12">
        <f>G47+G62+G89+G105+G165+G218+G245+G251+G265</f>
        <v>1117.6</v>
      </c>
      <c r="H271" s="12">
        <f>H47+H62+H89+H105+H165+H218+H245+H251+H265</f>
        <v>713</v>
      </c>
      <c r="I271" s="12">
        <f>I47+I62+I89+I105+I165+I218+I245+I251+I265</f>
        <v>404.6</v>
      </c>
      <c r="J271" s="12">
        <f>J47+J62+J89+J165+J218+J245+J251+J265</f>
        <v>1240.73172</v>
      </c>
      <c r="K271" s="12">
        <f>K47+K62+K89+K96+K105+K115+K165+K218+K245+K80</f>
        <v>0</v>
      </c>
      <c r="L271" s="35"/>
      <c r="M271" s="763"/>
      <c r="N271" s="297"/>
    </row>
    <row r="272" spans="1:14" ht="29.25" customHeight="1" thickBot="1">
      <c r="A272" s="761"/>
      <c r="B272" s="762"/>
      <c r="C272" s="762"/>
      <c r="D272" s="456">
        <v>2023</v>
      </c>
      <c r="E272" s="30">
        <f>E22+E29+E32+E63+E173+E226+E246</f>
        <v>661.84</v>
      </c>
      <c r="F272" s="30">
        <f aca="true" t="shared" si="40" ref="F272:K272">F22+F29+F32+F63+F173+F226+F246</f>
        <v>0</v>
      </c>
      <c r="G272" s="30">
        <f t="shared" si="40"/>
        <v>0</v>
      </c>
      <c r="H272" s="30">
        <f t="shared" si="40"/>
        <v>0</v>
      </c>
      <c r="I272" s="30">
        <f t="shared" si="40"/>
        <v>0</v>
      </c>
      <c r="J272" s="549">
        <f>J22+J29+J32+J63+J173+J226+J246</f>
        <v>661.84</v>
      </c>
      <c r="K272" s="30">
        <f t="shared" si="40"/>
        <v>0</v>
      </c>
      <c r="L272" s="457"/>
      <c r="M272" s="763"/>
      <c r="N272" s="297"/>
    </row>
    <row r="273" spans="1:14" ht="29.25" customHeight="1" thickBot="1">
      <c r="A273" s="761"/>
      <c r="B273" s="762"/>
      <c r="C273" s="762"/>
      <c r="D273" s="456">
        <v>2024</v>
      </c>
      <c r="E273" s="30">
        <f>E64+E180+E233</f>
        <v>662.84</v>
      </c>
      <c r="F273" s="30">
        <f aca="true" t="shared" si="41" ref="F273:K273">F64+F180+F233</f>
        <v>0</v>
      </c>
      <c r="G273" s="30">
        <f t="shared" si="41"/>
        <v>0</v>
      </c>
      <c r="H273" s="30">
        <f t="shared" si="41"/>
        <v>0</v>
      </c>
      <c r="I273" s="30">
        <f t="shared" si="41"/>
        <v>0</v>
      </c>
      <c r="J273" s="549">
        <f t="shared" si="41"/>
        <v>662.84</v>
      </c>
      <c r="K273" s="30">
        <f t="shared" si="41"/>
        <v>0</v>
      </c>
      <c r="L273" s="457"/>
      <c r="M273" s="763"/>
      <c r="N273" s="297"/>
    </row>
    <row r="274" spans="1:14" ht="29.25" customHeight="1" thickBot="1">
      <c r="A274" s="761"/>
      <c r="B274" s="762"/>
      <c r="C274" s="762"/>
      <c r="D274" s="458">
        <v>2025</v>
      </c>
      <c r="E274" s="30">
        <f>E65+E187+E236</f>
        <v>662.84</v>
      </c>
      <c r="F274" s="30">
        <f aca="true" t="shared" si="42" ref="F274:L274">F65+F187+F236</f>
        <v>0</v>
      </c>
      <c r="G274" s="30">
        <f t="shared" si="42"/>
        <v>0</v>
      </c>
      <c r="H274" s="30">
        <f t="shared" si="42"/>
        <v>0</v>
      </c>
      <c r="I274" s="30">
        <f t="shared" si="42"/>
        <v>0</v>
      </c>
      <c r="J274" s="549">
        <f t="shared" si="42"/>
        <v>662.84</v>
      </c>
      <c r="K274" s="30">
        <f t="shared" si="42"/>
        <v>0</v>
      </c>
      <c r="L274" s="30">
        <f t="shared" si="42"/>
        <v>0</v>
      </c>
      <c r="M274" s="763"/>
      <c r="N274" s="297"/>
    </row>
    <row r="275" spans="1:14" ht="29.25" customHeight="1">
      <c r="A275" s="854" t="s">
        <v>111</v>
      </c>
      <c r="B275" s="854"/>
      <c r="C275" s="854"/>
      <c r="D275" s="854"/>
      <c r="E275" s="854"/>
      <c r="F275" s="854"/>
      <c r="G275" s="854"/>
      <c r="H275" s="854"/>
      <c r="I275" s="854"/>
      <c r="J275" s="854"/>
      <c r="K275" s="854"/>
      <c r="L275" s="854"/>
      <c r="M275" s="854"/>
      <c r="N275" s="90"/>
    </row>
    <row r="276" spans="1:14" ht="43.5" customHeight="1">
      <c r="A276" s="753" t="s">
        <v>112</v>
      </c>
      <c r="B276" s="753"/>
      <c r="C276" s="753"/>
      <c r="D276" s="753"/>
      <c r="E276" s="753"/>
      <c r="F276" s="753"/>
      <c r="G276" s="753"/>
      <c r="H276" s="753"/>
      <c r="I276" s="753"/>
      <c r="J276" s="753"/>
      <c r="K276" s="753"/>
      <c r="L276" s="753"/>
      <c r="M276" s="753"/>
      <c r="N276" s="149"/>
    </row>
    <row r="277" spans="1:19" ht="114.75" customHeight="1">
      <c r="A277" s="753" t="s">
        <v>345</v>
      </c>
      <c r="B277" s="753"/>
      <c r="C277" s="753"/>
      <c r="D277" s="753"/>
      <c r="E277" s="753"/>
      <c r="F277" s="753"/>
      <c r="G277" s="753"/>
      <c r="H277" s="753"/>
      <c r="I277" s="753"/>
      <c r="J277" s="753"/>
      <c r="K277" s="753"/>
      <c r="L277" s="753"/>
      <c r="M277" s="753"/>
      <c r="N277" s="149"/>
      <c r="S277" s="36"/>
    </row>
    <row r="278" spans="1:14" ht="27" customHeight="1">
      <c r="A278" s="753" t="s">
        <v>113</v>
      </c>
      <c r="B278" s="753"/>
      <c r="C278" s="753"/>
      <c r="D278" s="753"/>
      <c r="E278" s="753"/>
      <c r="F278" s="753"/>
      <c r="G278" s="753"/>
      <c r="H278" s="753"/>
      <c r="I278" s="753"/>
      <c r="J278" s="753"/>
      <c r="K278" s="753"/>
      <c r="L278" s="753"/>
      <c r="M278" s="754"/>
      <c r="N278" s="149"/>
    </row>
    <row r="279" spans="1:14" ht="37.5" customHeight="1">
      <c r="A279" s="699" t="s">
        <v>114</v>
      </c>
      <c r="B279" s="729" t="s">
        <v>115</v>
      </c>
      <c r="C279" s="38" t="s">
        <v>116</v>
      </c>
      <c r="D279" s="4">
        <v>2017</v>
      </c>
      <c r="E279" s="39">
        <f>F279+G279+J279+K279</f>
        <v>15500.856</v>
      </c>
      <c r="F279" s="42"/>
      <c r="G279" s="39">
        <f aca="true" t="shared" si="43" ref="G279:G296">H279+I279</f>
        <v>0</v>
      </c>
      <c r="H279" s="39"/>
      <c r="I279" s="39"/>
      <c r="J279" s="538">
        <f>J431+J432+J433+J434+J435+J437</f>
        <v>15500.856</v>
      </c>
      <c r="K279" s="42">
        <v>0</v>
      </c>
      <c r="L279" s="303" t="s">
        <v>117</v>
      </c>
      <c r="M279" s="701" t="s">
        <v>118</v>
      </c>
      <c r="N279" s="241"/>
    </row>
    <row r="280" spans="1:14" ht="37.5" customHeight="1">
      <c r="A280" s="699"/>
      <c r="B280" s="729"/>
      <c r="C280" s="150" t="s">
        <v>119</v>
      </c>
      <c r="D280" s="459"/>
      <c r="E280" s="39">
        <f>F280+G280+J280+K280</f>
        <v>10933.428</v>
      </c>
      <c r="F280" s="42"/>
      <c r="G280" s="39">
        <f t="shared" si="43"/>
        <v>0</v>
      </c>
      <c r="H280" s="39"/>
      <c r="I280" s="39"/>
      <c r="J280" s="538">
        <f>J436</f>
        <v>10933.428</v>
      </c>
      <c r="K280" s="42">
        <v>0</v>
      </c>
      <c r="L280" s="303" t="s">
        <v>120</v>
      </c>
      <c r="M280" s="701"/>
      <c r="N280" s="241"/>
    </row>
    <row r="281" spans="1:14" ht="31.5" customHeight="1">
      <c r="A281" s="699"/>
      <c r="B281" s="729"/>
      <c r="C281" s="38" t="s">
        <v>116</v>
      </c>
      <c r="D281" s="4">
        <v>2018</v>
      </c>
      <c r="E281" s="39">
        <f>F281+G281+J281+K281</f>
        <v>28543.359</v>
      </c>
      <c r="F281" s="39"/>
      <c r="G281" s="39">
        <f t="shared" si="43"/>
        <v>0</v>
      </c>
      <c r="H281" s="39">
        <v>0</v>
      </c>
      <c r="I281" s="39">
        <v>0</v>
      </c>
      <c r="J281" s="538">
        <f>SUM(J282:J295)</f>
        <v>28543.359</v>
      </c>
      <c r="K281" s="39">
        <v>0</v>
      </c>
      <c r="L281" s="303"/>
      <c r="M281" s="701"/>
      <c r="N281" s="241"/>
    </row>
    <row r="282" spans="1:14" ht="36" customHeight="1">
      <c r="A282" s="699"/>
      <c r="B282" s="729"/>
      <c r="C282" s="16" t="s">
        <v>83</v>
      </c>
      <c r="D282" s="4"/>
      <c r="E282" s="39"/>
      <c r="F282" s="42"/>
      <c r="G282" s="42">
        <f t="shared" si="43"/>
        <v>0</v>
      </c>
      <c r="H282" s="42"/>
      <c r="I282" s="42"/>
      <c r="J282" s="538">
        <f>105.997+1553.242+30.82212-90.152</f>
        <v>1599.90912</v>
      </c>
      <c r="K282" s="42">
        <v>0</v>
      </c>
      <c r="L282" s="736" t="s">
        <v>120</v>
      </c>
      <c r="M282" s="701"/>
      <c r="N282" s="241"/>
    </row>
    <row r="283" spans="1:14" ht="39.75" customHeight="1">
      <c r="A283" s="699"/>
      <c r="B283" s="729"/>
      <c r="C283" s="16" t="s">
        <v>84</v>
      </c>
      <c r="D283" s="4"/>
      <c r="E283" s="39"/>
      <c r="F283" s="42"/>
      <c r="G283" s="42">
        <f t="shared" si="43"/>
        <v>0</v>
      </c>
      <c r="H283" s="42"/>
      <c r="I283" s="42"/>
      <c r="J283" s="538">
        <f>2647.00046-137.31778-3.0355</f>
        <v>2506.6471800000004</v>
      </c>
      <c r="K283" s="42">
        <v>0</v>
      </c>
      <c r="L283" s="736"/>
      <c r="M283" s="701"/>
      <c r="N283" s="241"/>
    </row>
    <row r="284" spans="1:14" ht="39.75" customHeight="1">
      <c r="A284" s="699"/>
      <c r="B284" s="729"/>
      <c r="C284" s="16" t="s">
        <v>84</v>
      </c>
      <c r="D284" s="4"/>
      <c r="E284" s="39"/>
      <c r="F284" s="42"/>
      <c r="G284" s="42">
        <f t="shared" si="43"/>
        <v>0</v>
      </c>
      <c r="H284" s="42"/>
      <c r="I284" s="42"/>
      <c r="J284" s="538">
        <f>19000-4993.27603+73.22078+64.097-230.15863</f>
        <v>13913.883119999999</v>
      </c>
      <c r="K284" s="42">
        <v>0</v>
      </c>
      <c r="L284" s="736"/>
      <c r="M284" s="701"/>
      <c r="N284" s="241"/>
    </row>
    <row r="285" spans="1:14" ht="36" customHeight="1">
      <c r="A285" s="699"/>
      <c r="B285" s="729"/>
      <c r="C285" s="16" t="s">
        <v>85</v>
      </c>
      <c r="D285" s="4"/>
      <c r="E285" s="39"/>
      <c r="F285" s="42"/>
      <c r="G285" s="42">
        <f t="shared" si="43"/>
        <v>0</v>
      </c>
      <c r="H285" s="42"/>
      <c r="I285" s="42"/>
      <c r="J285" s="538">
        <f>620.082-142.882</f>
        <v>477.2</v>
      </c>
      <c r="K285" s="42">
        <v>0</v>
      </c>
      <c r="L285" s="736"/>
      <c r="M285" s="701"/>
      <c r="N285" s="241"/>
    </row>
    <row r="286" spans="1:14" ht="24.75" customHeight="1">
      <c r="A286" s="699"/>
      <c r="B286" s="729"/>
      <c r="C286" s="242" t="s">
        <v>77</v>
      </c>
      <c r="D286" s="4"/>
      <c r="E286" s="39"/>
      <c r="F286" s="42"/>
      <c r="G286" s="42">
        <f t="shared" si="43"/>
        <v>0</v>
      </c>
      <c r="H286" s="42"/>
      <c r="I286" s="42"/>
      <c r="J286" s="538">
        <f>4446.112-526.952+1537.10326-314.81263</f>
        <v>5141.450629999999</v>
      </c>
      <c r="K286" s="42">
        <v>0</v>
      </c>
      <c r="L286" s="736"/>
      <c r="M286" s="701"/>
      <c r="N286" s="241"/>
    </row>
    <row r="287" spans="1:14" ht="24.75" customHeight="1">
      <c r="A287" s="699"/>
      <c r="B287" s="729"/>
      <c r="C287" s="242" t="s">
        <v>79</v>
      </c>
      <c r="D287" s="4"/>
      <c r="E287" s="39"/>
      <c r="F287" s="42"/>
      <c r="G287" s="42">
        <f t="shared" si="43"/>
        <v>0</v>
      </c>
      <c r="H287" s="42"/>
      <c r="I287" s="42"/>
      <c r="J287" s="538">
        <f>115.226+847.899+0.168</f>
        <v>963.293</v>
      </c>
      <c r="K287" s="42">
        <v>0</v>
      </c>
      <c r="L287" s="736"/>
      <c r="M287" s="701"/>
      <c r="N287" s="241"/>
    </row>
    <row r="288" spans="1:14" ht="37.5" customHeight="1">
      <c r="A288" s="699"/>
      <c r="B288" s="729"/>
      <c r="C288" s="106" t="s">
        <v>232</v>
      </c>
      <c r="D288" s="4"/>
      <c r="E288" s="39"/>
      <c r="F288" s="42"/>
      <c r="G288" s="42">
        <f t="shared" si="43"/>
        <v>0</v>
      </c>
      <c r="H288" s="42"/>
      <c r="I288" s="42"/>
      <c r="J288" s="538">
        <f>357.7+36.69771</f>
        <v>394.39770999999996</v>
      </c>
      <c r="K288" s="42">
        <v>0</v>
      </c>
      <c r="L288" s="244" t="s">
        <v>83</v>
      </c>
      <c r="M288" s="701"/>
      <c r="N288" s="241"/>
    </row>
    <row r="289" spans="1:14" ht="38.25" customHeight="1">
      <c r="A289" s="699"/>
      <c r="B289" s="729"/>
      <c r="C289" s="106" t="s">
        <v>233</v>
      </c>
      <c r="D289" s="4"/>
      <c r="E289" s="39"/>
      <c r="F289" s="42"/>
      <c r="G289" s="42">
        <f t="shared" si="43"/>
        <v>0</v>
      </c>
      <c r="H289" s="42"/>
      <c r="I289" s="42"/>
      <c r="J289" s="538">
        <f>105.779+362.898-106.319</f>
        <v>362.358</v>
      </c>
      <c r="K289" s="42">
        <v>0</v>
      </c>
      <c r="L289" s="244" t="s">
        <v>84</v>
      </c>
      <c r="M289" s="701"/>
      <c r="N289" s="241"/>
    </row>
    <row r="290" spans="1:14" ht="33.75" customHeight="1">
      <c r="A290" s="699"/>
      <c r="B290" s="729"/>
      <c r="C290" s="106" t="s">
        <v>234</v>
      </c>
      <c r="D290" s="4"/>
      <c r="E290" s="39"/>
      <c r="F290" s="42"/>
      <c r="G290" s="42">
        <f t="shared" si="43"/>
        <v>0</v>
      </c>
      <c r="H290" s="42"/>
      <c r="I290" s="42"/>
      <c r="J290" s="538">
        <v>0</v>
      </c>
      <c r="K290" s="42">
        <v>0</v>
      </c>
      <c r="L290" s="303"/>
      <c r="M290" s="701"/>
      <c r="N290" s="241"/>
    </row>
    <row r="291" spans="1:14" ht="24.75" customHeight="1">
      <c r="A291" s="699"/>
      <c r="B291" s="729"/>
      <c r="C291" s="242" t="s">
        <v>77</v>
      </c>
      <c r="D291" s="4"/>
      <c r="E291" s="39"/>
      <c r="F291" s="42"/>
      <c r="G291" s="42">
        <f t="shared" si="43"/>
        <v>0</v>
      </c>
      <c r="H291" s="42"/>
      <c r="I291" s="42"/>
      <c r="J291" s="538">
        <f>196.448+30+275.818-26.184</f>
        <v>476.08199999999994</v>
      </c>
      <c r="K291" s="42">
        <v>0</v>
      </c>
      <c r="L291" s="280" t="s">
        <v>77</v>
      </c>
      <c r="M291" s="701"/>
      <c r="N291" s="241"/>
    </row>
    <row r="292" spans="1:14" ht="24.75" customHeight="1">
      <c r="A292" s="699"/>
      <c r="B292" s="729"/>
      <c r="C292" s="242" t="s">
        <v>79</v>
      </c>
      <c r="D292" s="4"/>
      <c r="E292" s="39"/>
      <c r="F292" s="42"/>
      <c r="G292" s="42">
        <f t="shared" si="43"/>
        <v>0</v>
      </c>
      <c r="H292" s="42"/>
      <c r="I292" s="42"/>
      <c r="J292" s="538">
        <f>624.103+100+900+26.6</f>
        <v>1650.703</v>
      </c>
      <c r="K292" s="42">
        <v>0</v>
      </c>
      <c r="L292" s="280" t="s">
        <v>79</v>
      </c>
      <c r="M292" s="701"/>
      <c r="N292" s="241"/>
    </row>
    <row r="293" spans="1:14" ht="24.75" customHeight="1">
      <c r="A293" s="699"/>
      <c r="B293" s="729"/>
      <c r="C293" s="38"/>
      <c r="D293" s="4"/>
      <c r="E293" s="39"/>
      <c r="F293" s="42"/>
      <c r="G293" s="42">
        <f t="shared" si="43"/>
        <v>0</v>
      </c>
      <c r="H293" s="42"/>
      <c r="I293" s="42"/>
      <c r="J293" s="538">
        <v>0</v>
      </c>
      <c r="K293" s="42">
        <v>0</v>
      </c>
      <c r="L293" s="303" t="s">
        <v>120</v>
      </c>
      <c r="M293" s="701"/>
      <c r="N293" s="241"/>
    </row>
    <row r="294" spans="1:14" ht="51.75" customHeight="1" thickBot="1">
      <c r="A294" s="699"/>
      <c r="B294" s="729"/>
      <c r="C294" s="29" t="s">
        <v>300</v>
      </c>
      <c r="D294" s="4"/>
      <c r="E294" s="39"/>
      <c r="F294" s="42"/>
      <c r="G294" s="42">
        <f t="shared" si="43"/>
        <v>0</v>
      </c>
      <c r="H294" s="42"/>
      <c r="I294" s="42"/>
      <c r="J294" s="538">
        <f>491.117-443.682+838.97984-0.0006</f>
        <v>886.41424</v>
      </c>
      <c r="K294" s="42">
        <v>0</v>
      </c>
      <c r="L294" s="303" t="s">
        <v>120</v>
      </c>
      <c r="M294" s="701"/>
      <c r="N294" s="241"/>
    </row>
    <row r="295" spans="1:14" ht="46.5" customHeight="1" thickBot="1">
      <c r="A295" s="699"/>
      <c r="B295" s="729"/>
      <c r="C295" s="29" t="s">
        <v>300</v>
      </c>
      <c r="D295" s="4"/>
      <c r="E295" s="39"/>
      <c r="F295" s="42"/>
      <c r="G295" s="42">
        <f t="shared" si="43"/>
        <v>0</v>
      </c>
      <c r="H295" s="42"/>
      <c r="I295" s="42"/>
      <c r="J295" s="191">
        <f>147.021+24</f>
        <v>171.021</v>
      </c>
      <c r="K295" s="42">
        <v>0</v>
      </c>
      <c r="L295" s="274" t="s">
        <v>300</v>
      </c>
      <c r="M295" s="701"/>
      <c r="N295" s="241"/>
    </row>
    <row r="296" spans="1:14" ht="24.75" customHeight="1" thickBot="1">
      <c r="A296" s="699"/>
      <c r="B296" s="729"/>
      <c r="C296" s="460"/>
      <c r="D296" s="41"/>
      <c r="E296" s="44"/>
      <c r="F296" s="43"/>
      <c r="G296" s="43">
        <f t="shared" si="43"/>
        <v>0</v>
      </c>
      <c r="H296" s="43"/>
      <c r="I296" s="43"/>
      <c r="J296" s="195">
        <v>0</v>
      </c>
      <c r="K296" s="43">
        <v>0</v>
      </c>
      <c r="L296" s="303"/>
      <c r="M296" s="701"/>
      <c r="N296" s="241"/>
    </row>
    <row r="297" spans="1:14" ht="24.75" customHeight="1" thickBot="1">
      <c r="A297" s="699"/>
      <c r="B297" s="729"/>
      <c r="C297" s="151"/>
      <c r="D297" s="461">
        <v>2019</v>
      </c>
      <c r="E297" s="48">
        <f aca="true" t="shared" si="44" ref="E297:E311">F297+G297+J297+K297</f>
        <v>25876.25605</v>
      </c>
      <c r="F297" s="48">
        <f aca="true" t="shared" si="45" ref="F297:K297">SUM(F298:F311)</f>
        <v>0</v>
      </c>
      <c r="G297" s="48">
        <f t="shared" si="45"/>
        <v>0</v>
      </c>
      <c r="H297" s="48">
        <f t="shared" si="45"/>
        <v>0</v>
      </c>
      <c r="I297" s="48">
        <f t="shared" si="45"/>
        <v>0</v>
      </c>
      <c r="J297" s="550">
        <f t="shared" si="45"/>
        <v>25876.25605</v>
      </c>
      <c r="K297" s="49">
        <f t="shared" si="45"/>
        <v>0</v>
      </c>
      <c r="L297" s="462" t="s">
        <v>120</v>
      </c>
      <c r="M297" s="701"/>
      <c r="N297" s="241"/>
    </row>
    <row r="298" spans="1:14" ht="38.25" customHeight="1">
      <c r="A298" s="699"/>
      <c r="B298" s="729"/>
      <c r="C298" s="106" t="s">
        <v>232</v>
      </c>
      <c r="D298" s="51"/>
      <c r="E298" s="52">
        <f t="shared" si="44"/>
        <v>1159.92432</v>
      </c>
      <c r="F298" s="52"/>
      <c r="G298" s="52">
        <f aca="true" t="shared" si="46" ref="G298:G311">H298+I298</f>
        <v>0</v>
      </c>
      <c r="H298" s="52"/>
      <c r="I298" s="53"/>
      <c r="J298" s="551">
        <f>1350-190.07568</f>
        <v>1159.92432</v>
      </c>
      <c r="K298" s="52">
        <v>0</v>
      </c>
      <c r="L298" s="303" t="s">
        <v>120</v>
      </c>
      <c r="M298" s="701"/>
      <c r="N298" s="241"/>
    </row>
    <row r="299" spans="1:14" ht="39.75" customHeight="1">
      <c r="A299" s="699"/>
      <c r="B299" s="729"/>
      <c r="C299" s="106" t="s">
        <v>233</v>
      </c>
      <c r="D299" s="4"/>
      <c r="E299" s="42">
        <f t="shared" si="44"/>
        <v>17673.222</v>
      </c>
      <c r="F299" s="42"/>
      <c r="G299" s="42">
        <f t="shared" si="46"/>
        <v>0</v>
      </c>
      <c r="H299" s="42"/>
      <c r="I299" s="39"/>
      <c r="J299" s="538">
        <f>17794.4248-121.2028</f>
        <v>17673.222</v>
      </c>
      <c r="K299" s="42"/>
      <c r="L299" s="303" t="s">
        <v>120</v>
      </c>
      <c r="M299" s="701"/>
      <c r="N299" s="241"/>
    </row>
    <row r="300" spans="1:14" ht="33" customHeight="1">
      <c r="A300" s="699"/>
      <c r="B300" s="729"/>
      <c r="C300" s="106" t="s">
        <v>234</v>
      </c>
      <c r="D300" s="4"/>
      <c r="E300" s="42">
        <f t="shared" si="44"/>
        <v>0</v>
      </c>
      <c r="F300" s="42"/>
      <c r="G300" s="42">
        <f t="shared" si="46"/>
        <v>0</v>
      </c>
      <c r="H300" s="42"/>
      <c r="I300" s="39"/>
      <c r="J300" s="538">
        <f>500-159.431-340.569</f>
        <v>0</v>
      </c>
      <c r="K300" s="42"/>
      <c r="L300" s="303" t="s">
        <v>120</v>
      </c>
      <c r="M300" s="701"/>
      <c r="N300" s="241"/>
    </row>
    <row r="301" spans="1:14" ht="24.75" customHeight="1">
      <c r="A301" s="699"/>
      <c r="B301" s="729"/>
      <c r="C301" s="242" t="s">
        <v>77</v>
      </c>
      <c r="D301" s="4"/>
      <c r="E301" s="42">
        <f t="shared" si="44"/>
        <v>2109.1145</v>
      </c>
      <c r="F301" s="42"/>
      <c r="G301" s="42">
        <f t="shared" si="46"/>
        <v>0</v>
      </c>
      <c r="H301" s="42"/>
      <c r="I301" s="42">
        <v>0</v>
      </c>
      <c r="J301" s="538">
        <f>1797.73863+313.37887-2.003</f>
        <v>2109.1145</v>
      </c>
      <c r="K301" s="42"/>
      <c r="L301" s="303" t="s">
        <v>120</v>
      </c>
      <c r="M301" s="701"/>
      <c r="N301" s="241"/>
    </row>
    <row r="302" spans="1:14" ht="24.75" customHeight="1">
      <c r="A302" s="699"/>
      <c r="B302" s="729"/>
      <c r="C302" s="242" t="s">
        <v>77</v>
      </c>
      <c r="D302" s="4"/>
      <c r="E302" s="42">
        <f t="shared" si="44"/>
        <v>0</v>
      </c>
      <c r="F302" s="42"/>
      <c r="G302" s="42">
        <f t="shared" si="46"/>
        <v>0</v>
      </c>
      <c r="H302" s="42"/>
      <c r="I302" s="42"/>
      <c r="J302" s="538">
        <v>0</v>
      </c>
      <c r="K302" s="42"/>
      <c r="L302" s="303" t="s">
        <v>121</v>
      </c>
      <c r="M302" s="701"/>
      <c r="N302" s="241"/>
    </row>
    <row r="303" spans="1:14" ht="24.75" customHeight="1">
      <c r="A303" s="699"/>
      <c r="B303" s="729"/>
      <c r="C303" s="242" t="s">
        <v>79</v>
      </c>
      <c r="D303" s="4"/>
      <c r="E303" s="42">
        <f t="shared" si="44"/>
        <v>1830.5851200000002</v>
      </c>
      <c r="F303" s="42"/>
      <c r="G303" s="42">
        <f t="shared" si="46"/>
        <v>0</v>
      </c>
      <c r="H303" s="42"/>
      <c r="I303" s="39"/>
      <c r="J303" s="538">
        <f>1841.35064-10.76552</f>
        <v>1830.5851200000002</v>
      </c>
      <c r="K303" s="42"/>
      <c r="L303" s="303" t="s">
        <v>120</v>
      </c>
      <c r="M303" s="701"/>
      <c r="N303" s="241"/>
    </row>
    <row r="304" spans="1:14" ht="42" customHeight="1">
      <c r="A304" s="699"/>
      <c r="B304" s="729"/>
      <c r="C304" s="38" t="s">
        <v>312</v>
      </c>
      <c r="D304" s="4"/>
      <c r="E304" s="42">
        <f t="shared" si="44"/>
        <v>0</v>
      </c>
      <c r="F304" s="42"/>
      <c r="G304" s="42">
        <f t="shared" si="46"/>
        <v>0</v>
      </c>
      <c r="H304" s="42"/>
      <c r="I304" s="39"/>
      <c r="J304" s="538">
        <v>0</v>
      </c>
      <c r="K304" s="42"/>
      <c r="L304" s="303" t="s">
        <v>120</v>
      </c>
      <c r="M304" s="701"/>
      <c r="N304" s="241"/>
    </row>
    <row r="305" spans="1:14" ht="37.5" customHeight="1">
      <c r="A305" s="699"/>
      <c r="B305" s="729"/>
      <c r="C305" s="106" t="s">
        <v>232</v>
      </c>
      <c r="D305" s="4"/>
      <c r="E305" s="42">
        <f t="shared" si="44"/>
        <v>200</v>
      </c>
      <c r="F305" s="42"/>
      <c r="G305" s="42">
        <f t="shared" si="46"/>
        <v>0</v>
      </c>
      <c r="H305" s="42"/>
      <c r="I305" s="39"/>
      <c r="J305" s="538">
        <v>200</v>
      </c>
      <c r="K305" s="42"/>
      <c r="L305" s="304" t="s">
        <v>232</v>
      </c>
      <c r="M305" s="701"/>
      <c r="N305" s="241"/>
    </row>
    <row r="306" spans="1:14" ht="35.25" customHeight="1">
      <c r="A306" s="699"/>
      <c r="B306" s="729"/>
      <c r="C306" s="106" t="s">
        <v>233</v>
      </c>
      <c r="D306" s="4"/>
      <c r="E306" s="42">
        <f t="shared" si="44"/>
        <v>262.6042</v>
      </c>
      <c r="F306" s="42"/>
      <c r="G306" s="42">
        <f t="shared" si="46"/>
        <v>0</v>
      </c>
      <c r="H306" s="42"/>
      <c r="I306" s="39"/>
      <c r="J306" s="538">
        <f>340.773-78.1688</f>
        <v>262.6042</v>
      </c>
      <c r="K306" s="42"/>
      <c r="L306" s="304" t="s">
        <v>233</v>
      </c>
      <c r="M306" s="701"/>
      <c r="N306" s="241"/>
    </row>
    <row r="307" spans="1:14" ht="38.25" customHeight="1">
      <c r="A307" s="699"/>
      <c r="B307" s="729"/>
      <c r="C307" s="106" t="s">
        <v>234</v>
      </c>
      <c r="D307" s="4"/>
      <c r="E307" s="42">
        <f t="shared" si="44"/>
        <v>277.714</v>
      </c>
      <c r="F307" s="42"/>
      <c r="G307" s="42">
        <f t="shared" si="46"/>
        <v>0</v>
      </c>
      <c r="H307" s="42"/>
      <c r="I307" s="39"/>
      <c r="J307" s="538">
        <f>159.431+118.283</f>
        <v>277.714</v>
      </c>
      <c r="K307" s="42"/>
      <c r="L307" s="304" t="s">
        <v>234</v>
      </c>
      <c r="M307" s="701"/>
      <c r="N307" s="241"/>
    </row>
    <row r="308" spans="1:14" ht="24.75" customHeight="1">
      <c r="A308" s="699"/>
      <c r="B308" s="729"/>
      <c r="C308" s="242" t="s">
        <v>77</v>
      </c>
      <c r="D308" s="4"/>
      <c r="E308" s="42">
        <f t="shared" si="44"/>
        <v>1940.84825</v>
      </c>
      <c r="F308" s="42"/>
      <c r="G308" s="42">
        <f t="shared" si="46"/>
        <v>0</v>
      </c>
      <c r="H308" s="42"/>
      <c r="I308" s="39"/>
      <c r="J308" s="538">
        <f>2430.61771-489.76946</f>
        <v>1940.84825</v>
      </c>
      <c r="K308" s="42"/>
      <c r="L308" s="280" t="s">
        <v>77</v>
      </c>
      <c r="M308" s="701"/>
      <c r="N308" s="241"/>
    </row>
    <row r="309" spans="1:14" ht="24.75" customHeight="1">
      <c r="A309" s="699"/>
      <c r="B309" s="729"/>
      <c r="C309" s="242" t="s">
        <v>79</v>
      </c>
      <c r="D309" s="4"/>
      <c r="E309" s="42">
        <f t="shared" si="44"/>
        <v>422.24366</v>
      </c>
      <c r="F309" s="42"/>
      <c r="G309" s="42">
        <f t="shared" si="46"/>
        <v>0</v>
      </c>
      <c r="H309" s="42"/>
      <c r="I309" s="39"/>
      <c r="J309" s="538">
        <f>301.36966+120.874</f>
        <v>422.24366</v>
      </c>
      <c r="K309" s="42"/>
      <c r="L309" s="280" t="s">
        <v>79</v>
      </c>
      <c r="M309" s="701"/>
      <c r="N309" s="241"/>
    </row>
    <row r="310" spans="1:14" ht="24.75" customHeight="1">
      <c r="A310" s="699"/>
      <c r="B310" s="729"/>
      <c r="C310" s="38"/>
      <c r="D310" s="4"/>
      <c r="E310" s="42">
        <f t="shared" si="44"/>
        <v>0</v>
      </c>
      <c r="F310" s="42"/>
      <c r="G310" s="42">
        <f t="shared" si="46"/>
        <v>0</v>
      </c>
      <c r="H310" s="42"/>
      <c r="I310" s="39"/>
      <c r="J310" s="538">
        <v>0</v>
      </c>
      <c r="K310" s="42"/>
      <c r="L310" s="463"/>
      <c r="M310" s="701"/>
      <c r="N310" s="241"/>
    </row>
    <row r="311" spans="1:14" ht="24.75" customHeight="1" thickBot="1">
      <c r="A311" s="699"/>
      <c r="B311" s="729"/>
      <c r="C311" s="38"/>
      <c r="D311" s="41"/>
      <c r="E311" s="43">
        <f t="shared" si="44"/>
        <v>0</v>
      </c>
      <c r="F311" s="43"/>
      <c r="G311" s="43">
        <f t="shared" si="46"/>
        <v>0</v>
      </c>
      <c r="H311" s="43"/>
      <c r="I311" s="44"/>
      <c r="J311" s="552">
        <v>0</v>
      </c>
      <c r="K311" s="43"/>
      <c r="L311" s="463"/>
      <c r="M311" s="701"/>
      <c r="N311" s="241"/>
    </row>
    <row r="312" spans="1:14" ht="30" customHeight="1" thickBot="1">
      <c r="A312" s="699"/>
      <c r="B312" s="745" t="s">
        <v>115</v>
      </c>
      <c r="C312" s="152"/>
      <c r="D312" s="47">
        <v>2020</v>
      </c>
      <c r="E312" s="48">
        <f aca="true" t="shared" si="47" ref="E312:J312">SUM(E313:E321)</f>
        <v>16055.751890000001</v>
      </c>
      <c r="F312" s="48">
        <f t="shared" si="47"/>
        <v>0</v>
      </c>
      <c r="G312" s="48">
        <f t="shared" si="47"/>
        <v>0</v>
      </c>
      <c r="H312" s="48">
        <f t="shared" si="47"/>
        <v>0</v>
      </c>
      <c r="I312" s="48">
        <f t="shared" si="47"/>
        <v>0</v>
      </c>
      <c r="J312" s="550">
        <f t="shared" si="47"/>
        <v>16055.751890000001</v>
      </c>
      <c r="K312" s="48">
        <f>SUM(K313:K320)</f>
        <v>0</v>
      </c>
      <c r="L312" s="464"/>
      <c r="M312" s="701"/>
      <c r="N312" s="241"/>
    </row>
    <row r="313" spans="1:14" ht="42.75" customHeight="1">
      <c r="A313" s="699"/>
      <c r="B313" s="745"/>
      <c r="C313" s="16" t="s">
        <v>84</v>
      </c>
      <c r="D313" s="465"/>
      <c r="E313" s="153">
        <f aca="true" t="shared" si="48" ref="E313:E321">F313+G313+J313+K313</f>
        <v>7244.213500000001</v>
      </c>
      <c r="F313" s="153"/>
      <c r="G313" s="153">
        <f aca="true" t="shared" si="49" ref="G313:G321">H313+I313</f>
        <v>0</v>
      </c>
      <c r="H313" s="153"/>
      <c r="I313" s="466"/>
      <c r="J313" s="553">
        <f>11000-3806.3995+50.613</f>
        <v>7244.213500000001</v>
      </c>
      <c r="K313" s="153"/>
      <c r="L313" s="303" t="s">
        <v>120</v>
      </c>
      <c r="M313" s="701"/>
      <c r="N313" s="241"/>
    </row>
    <row r="314" spans="1:14" ht="30" customHeight="1">
      <c r="A314" s="699"/>
      <c r="B314" s="745"/>
      <c r="C314" s="242" t="s">
        <v>77</v>
      </c>
      <c r="D314" s="4"/>
      <c r="E314" s="42">
        <f t="shared" si="48"/>
        <v>3323.71263</v>
      </c>
      <c r="F314" s="42"/>
      <c r="G314" s="42">
        <f t="shared" si="49"/>
        <v>0</v>
      </c>
      <c r="H314" s="42"/>
      <c r="I314" s="39"/>
      <c r="J314" s="538">
        <f>7142.742-3660.764-307.2291+148.96373</f>
        <v>3323.71263</v>
      </c>
      <c r="K314" s="42"/>
      <c r="L314" s="462" t="s">
        <v>122</v>
      </c>
      <c r="M314" s="701"/>
      <c r="N314" s="241"/>
    </row>
    <row r="315" spans="1:14" ht="36.75" customHeight="1" thickBot="1">
      <c r="A315" s="699"/>
      <c r="B315" s="745"/>
      <c r="C315" s="29" t="s">
        <v>300</v>
      </c>
      <c r="D315" s="4"/>
      <c r="E315" s="42">
        <f t="shared" si="48"/>
        <v>1525.96188</v>
      </c>
      <c r="F315" s="42"/>
      <c r="G315" s="42">
        <f t="shared" si="49"/>
        <v>0</v>
      </c>
      <c r="H315" s="42"/>
      <c r="I315" s="39"/>
      <c r="J315" s="538">
        <f>2400-794.205-3.89412-75.939</f>
        <v>1525.96188</v>
      </c>
      <c r="K315" s="42"/>
      <c r="L315" s="462" t="s">
        <v>122</v>
      </c>
      <c r="M315" s="701"/>
      <c r="N315" s="241"/>
    </row>
    <row r="316" spans="1:14" ht="30" customHeight="1">
      <c r="A316" s="699"/>
      <c r="B316" s="745"/>
      <c r="C316" s="242" t="s">
        <v>79</v>
      </c>
      <c r="D316" s="41"/>
      <c r="E316" s="42">
        <f t="shared" si="48"/>
        <v>927.09288</v>
      </c>
      <c r="F316" s="43"/>
      <c r="G316" s="42">
        <f t="shared" si="49"/>
        <v>0</v>
      </c>
      <c r="H316" s="43"/>
      <c r="I316" s="44"/>
      <c r="J316" s="552">
        <f>1065.624-138.53112</f>
        <v>927.09288</v>
      </c>
      <c r="K316" s="43"/>
      <c r="L316" s="303" t="s">
        <v>120</v>
      </c>
      <c r="M316" s="701"/>
      <c r="N316" s="241"/>
    </row>
    <row r="317" spans="1:14" ht="30" customHeight="1">
      <c r="A317" s="699"/>
      <c r="B317" s="745"/>
      <c r="C317" s="242" t="s">
        <v>77</v>
      </c>
      <c r="D317" s="41"/>
      <c r="E317" s="42">
        <f t="shared" si="48"/>
        <v>50.313</v>
      </c>
      <c r="F317" s="43"/>
      <c r="G317" s="42">
        <f t="shared" si="49"/>
        <v>0</v>
      </c>
      <c r="H317" s="43"/>
      <c r="I317" s="44"/>
      <c r="J317" s="552">
        <f>100-49.687</f>
        <v>50.313</v>
      </c>
      <c r="K317" s="43"/>
      <c r="L317" s="280" t="s">
        <v>77</v>
      </c>
      <c r="M317" s="701"/>
      <c r="N317" s="241"/>
    </row>
    <row r="318" spans="1:14" ht="30" customHeight="1">
      <c r="A318" s="699"/>
      <c r="B318" s="745"/>
      <c r="C318" s="242" t="s">
        <v>79</v>
      </c>
      <c r="D318" s="41"/>
      <c r="E318" s="42">
        <f t="shared" si="48"/>
        <v>2169.525</v>
      </c>
      <c r="F318" s="43"/>
      <c r="G318" s="42">
        <f t="shared" si="49"/>
        <v>0</v>
      </c>
      <c r="H318" s="43"/>
      <c r="I318" s="44"/>
      <c r="J318" s="552">
        <f>1699.525+470</f>
        <v>2169.525</v>
      </c>
      <c r="K318" s="43"/>
      <c r="L318" s="280" t="s">
        <v>79</v>
      </c>
      <c r="M318" s="701"/>
      <c r="N318" s="241"/>
    </row>
    <row r="319" spans="1:14" ht="36.75" customHeight="1">
      <c r="A319" s="699"/>
      <c r="B319" s="745"/>
      <c r="C319" s="16" t="s">
        <v>83</v>
      </c>
      <c r="D319" s="41"/>
      <c r="E319" s="42">
        <f t="shared" si="48"/>
        <v>342.134</v>
      </c>
      <c r="F319" s="43"/>
      <c r="G319" s="42">
        <f t="shared" si="49"/>
        <v>0</v>
      </c>
      <c r="H319" s="43"/>
      <c r="I319" s="44"/>
      <c r="J319" s="552">
        <v>342.134</v>
      </c>
      <c r="K319" s="43"/>
      <c r="L319" s="244" t="s">
        <v>83</v>
      </c>
      <c r="M319" s="701"/>
      <c r="N319" s="241"/>
    </row>
    <row r="320" spans="1:14" ht="34.5" customHeight="1">
      <c r="A320" s="699"/>
      <c r="B320" s="745"/>
      <c r="C320" s="16" t="s">
        <v>84</v>
      </c>
      <c r="D320" s="41"/>
      <c r="E320" s="43">
        <f t="shared" si="48"/>
        <v>48.53</v>
      </c>
      <c r="F320" s="43"/>
      <c r="G320" s="43">
        <f t="shared" si="49"/>
        <v>0</v>
      </c>
      <c r="H320" s="43"/>
      <c r="I320" s="44"/>
      <c r="J320" s="552">
        <f>66.985-18.455</f>
        <v>48.53</v>
      </c>
      <c r="K320" s="43"/>
      <c r="L320" s="244" t="s">
        <v>84</v>
      </c>
      <c r="M320" s="701"/>
      <c r="N320" s="241"/>
    </row>
    <row r="321" spans="1:14" ht="39" customHeight="1" thickBot="1">
      <c r="A321" s="699"/>
      <c r="B321" s="745"/>
      <c r="C321" s="29" t="s">
        <v>300</v>
      </c>
      <c r="D321" s="41"/>
      <c r="E321" s="43">
        <f t="shared" si="48"/>
        <v>424.269</v>
      </c>
      <c r="F321" s="43"/>
      <c r="G321" s="43">
        <f t="shared" si="49"/>
        <v>0</v>
      </c>
      <c r="H321" s="43"/>
      <c r="I321" s="44"/>
      <c r="J321" s="552">
        <f>495.342-71.073</f>
        <v>424.269</v>
      </c>
      <c r="K321" s="43"/>
      <c r="L321" s="274" t="s">
        <v>300</v>
      </c>
      <c r="M321" s="701"/>
      <c r="N321" s="241"/>
    </row>
    <row r="322" spans="1:14" ht="41.25" customHeight="1">
      <c r="A322" s="699"/>
      <c r="B322" s="37" t="s">
        <v>115</v>
      </c>
      <c r="C322" s="38"/>
      <c r="D322" s="4">
        <v>2021</v>
      </c>
      <c r="E322" s="39">
        <f aca="true" t="shared" si="50" ref="E322:K322">SUM(E323:E370)</f>
        <v>14302.94293</v>
      </c>
      <c r="F322" s="39">
        <f t="shared" si="50"/>
        <v>0</v>
      </c>
      <c r="G322" s="39">
        <f t="shared" si="50"/>
        <v>0</v>
      </c>
      <c r="H322" s="39">
        <f t="shared" si="50"/>
        <v>0</v>
      </c>
      <c r="I322" s="39">
        <f t="shared" si="50"/>
        <v>0</v>
      </c>
      <c r="J322" s="538">
        <f t="shared" si="50"/>
        <v>14302.94293</v>
      </c>
      <c r="K322" s="39">
        <f t="shared" si="50"/>
        <v>0</v>
      </c>
      <c r="L322" s="467"/>
      <c r="M322" s="701"/>
      <c r="N322" s="241"/>
    </row>
    <row r="323" spans="1:14" ht="36" customHeight="1">
      <c r="A323" s="699"/>
      <c r="B323" s="468" t="s">
        <v>123</v>
      </c>
      <c r="C323" s="745" t="s">
        <v>83</v>
      </c>
      <c r="D323" s="4"/>
      <c r="E323" s="42">
        <f>F323+G323+J323+K323</f>
        <v>538.447</v>
      </c>
      <c r="F323" s="42"/>
      <c r="G323" s="42"/>
      <c r="H323" s="42"/>
      <c r="I323" s="39"/>
      <c r="J323" s="538">
        <v>538.447</v>
      </c>
      <c r="K323" s="42"/>
      <c r="L323" s="736" t="s">
        <v>120</v>
      </c>
      <c r="M323" s="701"/>
      <c r="N323" s="241"/>
    </row>
    <row r="324" spans="1:14" ht="51" customHeight="1">
      <c r="A324" s="699"/>
      <c r="B324" s="468" t="s">
        <v>124</v>
      </c>
      <c r="C324" s="745"/>
      <c r="D324" s="41"/>
      <c r="E324" s="42">
        <f>F324+G324+J324+K324</f>
        <v>0</v>
      </c>
      <c r="F324" s="43"/>
      <c r="G324" s="43"/>
      <c r="H324" s="43"/>
      <c r="I324" s="44"/>
      <c r="J324" s="552">
        <v>0</v>
      </c>
      <c r="K324" s="43"/>
      <c r="L324" s="736"/>
      <c r="M324" s="701"/>
      <c r="N324" s="241"/>
    </row>
    <row r="325" spans="1:14" ht="22.5" customHeight="1">
      <c r="A325" s="699"/>
      <c r="B325" s="468" t="s">
        <v>125</v>
      </c>
      <c r="C325" s="745"/>
      <c r="D325" s="41"/>
      <c r="E325" s="42">
        <f>J325+I325+H325</f>
        <v>545.791</v>
      </c>
      <c r="F325" s="43"/>
      <c r="G325" s="43"/>
      <c r="H325" s="43"/>
      <c r="I325" s="44"/>
      <c r="J325" s="552">
        <f>503.798+41.993</f>
        <v>545.791</v>
      </c>
      <c r="K325" s="43"/>
      <c r="L325" s="736" t="s">
        <v>83</v>
      </c>
      <c r="M325" s="701"/>
      <c r="N325" s="241"/>
    </row>
    <row r="326" spans="1:14" ht="36" customHeight="1">
      <c r="A326" s="699"/>
      <c r="B326" s="468" t="s">
        <v>126</v>
      </c>
      <c r="C326" s="745"/>
      <c r="D326" s="41"/>
      <c r="E326" s="42">
        <f>J326+I326+H326</f>
        <v>188.901</v>
      </c>
      <c r="F326" s="43"/>
      <c r="G326" s="43"/>
      <c r="H326" s="43"/>
      <c r="I326" s="44"/>
      <c r="J326" s="552">
        <v>188.901</v>
      </c>
      <c r="K326" s="43"/>
      <c r="L326" s="736"/>
      <c r="M326" s="701"/>
      <c r="N326" s="241"/>
    </row>
    <row r="327" spans="1:14" ht="40.5" customHeight="1">
      <c r="A327" s="699"/>
      <c r="B327" s="468" t="s">
        <v>127</v>
      </c>
      <c r="C327" s="756" t="s">
        <v>84</v>
      </c>
      <c r="D327" s="41"/>
      <c r="E327" s="42">
        <f aca="true" t="shared" si="51" ref="E327:E345">F327+G327+J327+K327</f>
        <v>552.756</v>
      </c>
      <c r="F327" s="43"/>
      <c r="G327" s="43"/>
      <c r="H327" s="43"/>
      <c r="I327" s="44"/>
      <c r="J327" s="554">
        <v>552.756</v>
      </c>
      <c r="K327" s="43"/>
      <c r="L327" s="736" t="s">
        <v>120</v>
      </c>
      <c r="M327" s="701"/>
      <c r="N327" s="241"/>
    </row>
    <row r="328" spans="1:14" ht="51" customHeight="1">
      <c r="A328" s="699"/>
      <c r="B328" s="468" t="s">
        <v>128</v>
      </c>
      <c r="C328" s="756"/>
      <c r="D328" s="41"/>
      <c r="E328" s="42">
        <f t="shared" si="51"/>
        <v>0</v>
      </c>
      <c r="F328" s="43"/>
      <c r="G328" s="43"/>
      <c r="H328" s="43"/>
      <c r="I328" s="44"/>
      <c r="J328" s="554">
        <v>0</v>
      </c>
      <c r="K328" s="43"/>
      <c r="L328" s="736"/>
      <c r="M328" s="701"/>
      <c r="N328" s="241"/>
    </row>
    <row r="329" spans="1:14" ht="40.5" customHeight="1">
      <c r="A329" s="699"/>
      <c r="B329" s="468" t="s">
        <v>129</v>
      </c>
      <c r="C329" s="756"/>
      <c r="D329" s="41"/>
      <c r="E329" s="42">
        <f t="shared" si="51"/>
        <v>206.2234</v>
      </c>
      <c r="F329" s="43"/>
      <c r="G329" s="43"/>
      <c r="H329" s="43"/>
      <c r="I329" s="44"/>
      <c r="J329" s="554">
        <v>206.2234</v>
      </c>
      <c r="K329" s="43"/>
      <c r="L329" s="736"/>
      <c r="M329" s="701"/>
      <c r="N329" s="241"/>
    </row>
    <row r="330" spans="1:14" ht="29.25" customHeight="1">
      <c r="A330" s="699"/>
      <c r="B330" s="468" t="s">
        <v>130</v>
      </c>
      <c r="C330" s="756"/>
      <c r="D330" s="41"/>
      <c r="E330" s="42">
        <f t="shared" si="51"/>
        <v>67.09473</v>
      </c>
      <c r="F330" s="43"/>
      <c r="G330" s="43"/>
      <c r="H330" s="43"/>
      <c r="I330" s="44"/>
      <c r="J330" s="554">
        <v>67.09473</v>
      </c>
      <c r="K330" s="43"/>
      <c r="L330" s="736"/>
      <c r="M330" s="701"/>
      <c r="N330" s="241"/>
    </row>
    <row r="331" spans="1:14" ht="30.75" customHeight="1">
      <c r="A331" s="699"/>
      <c r="B331" s="469" t="s">
        <v>131</v>
      </c>
      <c r="C331" s="750" t="s">
        <v>84</v>
      </c>
      <c r="D331" s="41"/>
      <c r="E331" s="42">
        <f t="shared" si="51"/>
        <v>135.802</v>
      </c>
      <c r="F331" s="43"/>
      <c r="G331" s="43"/>
      <c r="H331" s="43"/>
      <c r="I331" s="44"/>
      <c r="J331" s="552">
        <v>135.802</v>
      </c>
      <c r="K331" s="43"/>
      <c r="L331" s="736" t="s">
        <v>84</v>
      </c>
      <c r="M331" s="701"/>
      <c r="N331" s="241"/>
    </row>
    <row r="332" spans="1:14" ht="30.75" customHeight="1">
      <c r="A332" s="699"/>
      <c r="B332" s="469" t="s">
        <v>132</v>
      </c>
      <c r="C332" s="750"/>
      <c r="D332" s="41"/>
      <c r="E332" s="42">
        <f t="shared" si="51"/>
        <v>274.90139000000005</v>
      </c>
      <c r="F332" s="43"/>
      <c r="G332" s="43"/>
      <c r="H332" s="43"/>
      <c r="I332" s="44"/>
      <c r="J332" s="552">
        <f>268.55799+25.074-18.73361+0.00301</f>
        <v>274.90139000000005</v>
      </c>
      <c r="K332" s="43"/>
      <c r="L332" s="736"/>
      <c r="M332" s="701"/>
      <c r="N332" s="241"/>
    </row>
    <row r="333" spans="1:14" ht="27" customHeight="1">
      <c r="A333" s="699"/>
      <c r="B333" s="469" t="s">
        <v>133</v>
      </c>
      <c r="C333" s="750"/>
      <c r="D333" s="41"/>
      <c r="E333" s="42">
        <f t="shared" si="51"/>
        <v>510.317</v>
      </c>
      <c r="F333" s="43"/>
      <c r="G333" s="43"/>
      <c r="H333" s="43"/>
      <c r="I333" s="44"/>
      <c r="J333" s="552">
        <v>510.317</v>
      </c>
      <c r="K333" s="43"/>
      <c r="L333" s="736"/>
      <c r="M333" s="701"/>
      <c r="N333" s="241"/>
    </row>
    <row r="334" spans="1:14" ht="27" customHeight="1">
      <c r="A334" s="699"/>
      <c r="B334" s="469" t="s">
        <v>134</v>
      </c>
      <c r="C334" s="750"/>
      <c r="D334" s="41"/>
      <c r="E334" s="42">
        <f t="shared" si="51"/>
        <v>4.996</v>
      </c>
      <c r="F334" s="43"/>
      <c r="G334" s="43"/>
      <c r="H334" s="43"/>
      <c r="I334" s="44"/>
      <c r="J334" s="552">
        <v>4.996</v>
      </c>
      <c r="K334" s="43"/>
      <c r="L334" s="736"/>
      <c r="M334" s="701"/>
      <c r="N334" s="241"/>
    </row>
    <row r="335" spans="1:14" ht="30" customHeight="1">
      <c r="A335" s="699"/>
      <c r="B335" s="469" t="s">
        <v>135</v>
      </c>
      <c r="C335" s="750"/>
      <c r="D335" s="41"/>
      <c r="E335" s="42">
        <f t="shared" si="51"/>
        <v>105.696</v>
      </c>
      <c r="F335" s="43"/>
      <c r="G335" s="43"/>
      <c r="H335" s="43"/>
      <c r="I335" s="44"/>
      <c r="J335" s="552">
        <f>35+70.696</f>
        <v>105.696</v>
      </c>
      <c r="K335" s="43"/>
      <c r="L335" s="736"/>
      <c r="M335" s="701"/>
      <c r="N335" s="241"/>
    </row>
    <row r="336" spans="1:14" ht="39.75" customHeight="1">
      <c r="A336" s="699"/>
      <c r="B336" s="468" t="s">
        <v>136</v>
      </c>
      <c r="C336" s="750"/>
      <c r="D336" s="41"/>
      <c r="E336" s="42">
        <f t="shared" si="51"/>
        <v>38.506</v>
      </c>
      <c r="F336" s="43"/>
      <c r="G336" s="43"/>
      <c r="H336" s="43"/>
      <c r="I336" s="44"/>
      <c r="J336" s="552">
        <v>38.506</v>
      </c>
      <c r="K336" s="43"/>
      <c r="L336" s="736"/>
      <c r="M336" s="701"/>
      <c r="N336" s="241"/>
    </row>
    <row r="337" spans="1:14" ht="39.75" customHeight="1">
      <c r="A337" s="699"/>
      <c r="B337" s="468" t="s">
        <v>137</v>
      </c>
      <c r="C337" s="750"/>
      <c r="D337" s="41"/>
      <c r="E337" s="42">
        <f t="shared" si="51"/>
        <v>276.794</v>
      </c>
      <c r="F337" s="43"/>
      <c r="G337" s="43"/>
      <c r="H337" s="43"/>
      <c r="I337" s="44"/>
      <c r="J337" s="552">
        <f>33.131+216.163+27.5</f>
        <v>276.794</v>
      </c>
      <c r="K337" s="43"/>
      <c r="L337" s="736"/>
      <c r="M337" s="701"/>
      <c r="N337" s="241"/>
    </row>
    <row r="338" spans="1:14" ht="39.75" customHeight="1">
      <c r="A338" s="699"/>
      <c r="B338" s="468" t="s">
        <v>138</v>
      </c>
      <c r="C338" s="750"/>
      <c r="D338" s="41"/>
      <c r="E338" s="42">
        <f t="shared" si="51"/>
        <v>510.317</v>
      </c>
      <c r="F338" s="43"/>
      <c r="G338" s="43"/>
      <c r="H338" s="43"/>
      <c r="I338" s="44"/>
      <c r="J338" s="552">
        <v>510.317</v>
      </c>
      <c r="K338" s="43"/>
      <c r="L338" s="736"/>
      <c r="M338" s="701"/>
      <c r="N338" s="241"/>
    </row>
    <row r="339" spans="1:14" ht="40.5" customHeight="1">
      <c r="A339" s="699"/>
      <c r="B339" s="469" t="s">
        <v>139</v>
      </c>
      <c r="C339" s="750"/>
      <c r="D339" s="41"/>
      <c r="E339" s="42">
        <f t="shared" si="51"/>
        <v>73.506</v>
      </c>
      <c r="F339" s="43"/>
      <c r="G339" s="43"/>
      <c r="H339" s="43"/>
      <c r="I339" s="44"/>
      <c r="J339" s="552">
        <v>73.506</v>
      </c>
      <c r="K339" s="43"/>
      <c r="L339" s="736"/>
      <c r="M339" s="701"/>
      <c r="N339" s="241"/>
    </row>
    <row r="340" spans="1:14" ht="34.5" customHeight="1">
      <c r="A340" s="699"/>
      <c r="B340" s="469" t="s">
        <v>140</v>
      </c>
      <c r="C340" s="750"/>
      <c r="D340" s="41"/>
      <c r="E340" s="42">
        <f t="shared" si="51"/>
        <v>20</v>
      </c>
      <c r="F340" s="43"/>
      <c r="G340" s="43"/>
      <c r="H340" s="43"/>
      <c r="I340" s="44"/>
      <c r="J340" s="552">
        <v>20</v>
      </c>
      <c r="K340" s="43"/>
      <c r="L340" s="736"/>
      <c r="M340" s="701"/>
      <c r="N340" s="241"/>
    </row>
    <row r="341" spans="1:14" ht="58.5" customHeight="1">
      <c r="A341" s="699"/>
      <c r="B341" s="469" t="s">
        <v>141</v>
      </c>
      <c r="C341" s="751"/>
      <c r="D341" s="41"/>
      <c r="E341" s="42">
        <f t="shared" si="51"/>
        <v>119.21</v>
      </c>
      <c r="F341" s="43"/>
      <c r="G341" s="43"/>
      <c r="H341" s="43"/>
      <c r="I341" s="44"/>
      <c r="J341" s="552">
        <v>119.21</v>
      </c>
      <c r="K341" s="43"/>
      <c r="L341" s="740"/>
      <c r="M341" s="701"/>
      <c r="N341" s="241"/>
    </row>
    <row r="342" spans="1:14" ht="31.5" customHeight="1">
      <c r="A342" s="699"/>
      <c r="B342" s="469" t="s">
        <v>142</v>
      </c>
      <c r="C342" s="751"/>
      <c r="D342" s="41"/>
      <c r="E342" s="42">
        <f t="shared" si="51"/>
        <v>33.131</v>
      </c>
      <c r="F342" s="43"/>
      <c r="G342" s="43"/>
      <c r="H342" s="43"/>
      <c r="I342" s="44"/>
      <c r="J342" s="552">
        <f>32.62+0.511</f>
        <v>33.131</v>
      </c>
      <c r="K342" s="43"/>
      <c r="L342" s="740"/>
      <c r="M342" s="701"/>
      <c r="N342" s="241"/>
    </row>
    <row r="343" spans="1:14" ht="31.5" customHeight="1">
      <c r="A343" s="699"/>
      <c r="B343" s="468" t="s">
        <v>143</v>
      </c>
      <c r="C343" s="745" t="s">
        <v>85</v>
      </c>
      <c r="D343" s="41"/>
      <c r="E343" s="42">
        <f t="shared" si="51"/>
        <v>176.11524</v>
      </c>
      <c r="F343" s="43"/>
      <c r="G343" s="43"/>
      <c r="H343" s="43"/>
      <c r="I343" s="44"/>
      <c r="J343" s="554">
        <v>176.11524</v>
      </c>
      <c r="K343" s="43"/>
      <c r="L343" s="752" t="s">
        <v>120</v>
      </c>
      <c r="M343" s="701"/>
      <c r="N343" s="241"/>
    </row>
    <row r="344" spans="1:18" ht="20.25" customHeight="1">
      <c r="A344" s="699"/>
      <c r="B344" s="468" t="s">
        <v>144</v>
      </c>
      <c r="C344" s="745"/>
      <c r="D344" s="41"/>
      <c r="E344" s="42">
        <f t="shared" si="51"/>
        <v>236.3839</v>
      </c>
      <c r="F344" s="43"/>
      <c r="G344" s="43"/>
      <c r="H344" s="43"/>
      <c r="I344" s="44"/>
      <c r="J344" s="554">
        <v>236.3839</v>
      </c>
      <c r="K344" s="43"/>
      <c r="L344" s="752"/>
      <c r="M344" s="701"/>
      <c r="N344" s="241"/>
      <c r="R344" s="85"/>
    </row>
    <row r="345" spans="1:14" ht="21.75" customHeight="1">
      <c r="A345" s="699"/>
      <c r="B345" s="468" t="s">
        <v>145</v>
      </c>
      <c r="C345" s="745"/>
      <c r="D345" s="41"/>
      <c r="E345" s="42">
        <f t="shared" si="51"/>
        <v>0</v>
      </c>
      <c r="F345" s="43"/>
      <c r="G345" s="43"/>
      <c r="H345" s="43"/>
      <c r="I345" s="44"/>
      <c r="J345" s="554">
        <v>0</v>
      </c>
      <c r="K345" s="43"/>
      <c r="L345" s="752"/>
      <c r="M345" s="701"/>
      <c r="N345" s="241"/>
    </row>
    <row r="346" spans="1:14" ht="31.5" customHeight="1">
      <c r="A346" s="699"/>
      <c r="B346" s="470" t="s">
        <v>146</v>
      </c>
      <c r="C346" s="745"/>
      <c r="D346" s="41"/>
      <c r="E346" s="42">
        <f>J346</f>
        <v>229.44756</v>
      </c>
      <c r="F346" s="43"/>
      <c r="G346" s="43"/>
      <c r="H346" s="43"/>
      <c r="I346" s="44"/>
      <c r="J346" s="554">
        <v>229.44756</v>
      </c>
      <c r="K346" s="43"/>
      <c r="L346" s="752"/>
      <c r="M346" s="701"/>
      <c r="N346" s="241"/>
    </row>
    <row r="347" spans="1:14" ht="21" customHeight="1">
      <c r="A347" s="699"/>
      <c r="B347" s="470" t="s">
        <v>147</v>
      </c>
      <c r="C347" s="745"/>
      <c r="D347" s="41"/>
      <c r="E347" s="42">
        <f>J347</f>
        <v>500.68815</v>
      </c>
      <c r="F347" s="43"/>
      <c r="G347" s="43"/>
      <c r="H347" s="43"/>
      <c r="I347" s="44"/>
      <c r="J347" s="554">
        <v>500.68815</v>
      </c>
      <c r="K347" s="43"/>
      <c r="L347" s="752"/>
      <c r="M347" s="701"/>
      <c r="N347" s="241"/>
    </row>
    <row r="348" spans="1:14" ht="21" customHeight="1">
      <c r="A348" s="699"/>
      <c r="B348" s="470" t="s">
        <v>148</v>
      </c>
      <c r="C348" s="745"/>
      <c r="D348" s="45"/>
      <c r="E348" s="42">
        <f aca="true" t="shared" si="52" ref="E348:E370">F348+G348+J348+K348</f>
        <v>28.088</v>
      </c>
      <c r="F348" s="43"/>
      <c r="G348" s="43"/>
      <c r="H348" s="43"/>
      <c r="I348" s="44"/>
      <c r="J348" s="554">
        <v>28.088</v>
      </c>
      <c r="K348" s="43"/>
      <c r="L348" s="244" t="s">
        <v>85</v>
      </c>
      <c r="M348" s="701"/>
      <c r="N348" s="241"/>
    </row>
    <row r="349" spans="1:14" ht="35.25" customHeight="1">
      <c r="A349" s="699"/>
      <c r="B349" s="469" t="s">
        <v>149</v>
      </c>
      <c r="C349" s="745" t="s">
        <v>77</v>
      </c>
      <c r="D349" s="471"/>
      <c r="E349" s="42">
        <f t="shared" si="52"/>
        <v>0</v>
      </c>
      <c r="F349" s="43"/>
      <c r="G349" s="43"/>
      <c r="H349" s="43"/>
      <c r="I349" s="44"/>
      <c r="J349" s="554">
        <v>0</v>
      </c>
      <c r="K349" s="43"/>
      <c r="L349" s="736" t="s">
        <v>120</v>
      </c>
      <c r="M349" s="701"/>
      <c r="N349" s="241"/>
    </row>
    <row r="350" spans="1:14" ht="21.75" customHeight="1">
      <c r="A350" s="699"/>
      <c r="B350" s="468" t="s">
        <v>150</v>
      </c>
      <c r="C350" s="745"/>
      <c r="D350" s="45"/>
      <c r="E350" s="42">
        <f t="shared" si="52"/>
        <v>2452.67376</v>
      </c>
      <c r="F350" s="43"/>
      <c r="G350" s="43"/>
      <c r="H350" s="43"/>
      <c r="I350" s="44"/>
      <c r="J350" s="533">
        <v>2452.67376</v>
      </c>
      <c r="K350" s="43"/>
      <c r="L350" s="736"/>
      <c r="M350" s="701"/>
      <c r="N350" s="241"/>
    </row>
    <row r="351" spans="1:14" ht="36.75" customHeight="1">
      <c r="A351" s="699"/>
      <c r="B351" s="470" t="s">
        <v>151</v>
      </c>
      <c r="C351" s="745"/>
      <c r="D351" s="45"/>
      <c r="E351" s="42">
        <f t="shared" si="52"/>
        <v>453.35073</v>
      </c>
      <c r="F351" s="43"/>
      <c r="G351" s="43"/>
      <c r="H351" s="43"/>
      <c r="I351" s="44"/>
      <c r="J351" s="533">
        <v>453.35073</v>
      </c>
      <c r="K351" s="43"/>
      <c r="L351" s="736"/>
      <c r="M351" s="701"/>
      <c r="N351" s="241"/>
    </row>
    <row r="352" spans="1:14" ht="32.25" customHeight="1">
      <c r="A352" s="699"/>
      <c r="B352" s="470" t="s">
        <v>152</v>
      </c>
      <c r="C352" s="745"/>
      <c r="D352" s="45"/>
      <c r="E352" s="42">
        <f t="shared" si="52"/>
        <v>476.32042</v>
      </c>
      <c r="F352" s="43"/>
      <c r="G352" s="43"/>
      <c r="H352" s="43"/>
      <c r="I352" s="44"/>
      <c r="J352" s="533">
        <v>476.32042</v>
      </c>
      <c r="K352" s="43"/>
      <c r="L352" s="736"/>
      <c r="M352" s="701"/>
      <c r="N352" s="241"/>
    </row>
    <row r="353" spans="1:14" ht="32.25" customHeight="1">
      <c r="A353" s="699"/>
      <c r="B353" s="470" t="s">
        <v>153</v>
      </c>
      <c r="C353" s="745"/>
      <c r="D353" s="45"/>
      <c r="E353" s="42">
        <f t="shared" si="52"/>
        <v>50.531</v>
      </c>
      <c r="F353" s="43"/>
      <c r="G353" s="43"/>
      <c r="H353" s="43"/>
      <c r="I353" s="44"/>
      <c r="J353" s="533">
        <v>50.531</v>
      </c>
      <c r="K353" s="43"/>
      <c r="L353" s="736"/>
      <c r="M353" s="701"/>
      <c r="N353" s="241"/>
    </row>
    <row r="354" spans="1:14" ht="21" customHeight="1">
      <c r="A354" s="699"/>
      <c r="B354" s="470" t="s">
        <v>154</v>
      </c>
      <c r="C354" s="745"/>
      <c r="D354" s="45"/>
      <c r="E354" s="42">
        <f t="shared" si="52"/>
        <v>0</v>
      </c>
      <c r="F354" s="43"/>
      <c r="G354" s="43"/>
      <c r="H354" s="43"/>
      <c r="I354" s="44"/>
      <c r="J354" s="533">
        <v>0</v>
      </c>
      <c r="K354" s="43"/>
      <c r="L354" s="736"/>
      <c r="M354" s="701"/>
      <c r="N354" s="241"/>
    </row>
    <row r="355" spans="1:14" ht="49.5" customHeight="1">
      <c r="A355" s="699"/>
      <c r="B355" s="472" t="s">
        <v>155</v>
      </c>
      <c r="C355" s="745" t="s">
        <v>77</v>
      </c>
      <c r="D355" s="41"/>
      <c r="E355" s="42">
        <f t="shared" si="52"/>
        <v>120</v>
      </c>
      <c r="F355" s="43"/>
      <c r="G355" s="43"/>
      <c r="H355" s="43"/>
      <c r="I355" s="44"/>
      <c r="J355" s="532">
        <f>90+30</f>
        <v>120</v>
      </c>
      <c r="K355" s="43"/>
      <c r="L355" s="280" t="s">
        <v>77</v>
      </c>
      <c r="M355" s="701"/>
      <c r="N355" s="241"/>
    </row>
    <row r="356" spans="1:14" ht="40.5" customHeight="1">
      <c r="A356" s="699"/>
      <c r="B356" s="472" t="s">
        <v>156</v>
      </c>
      <c r="C356" s="745"/>
      <c r="D356" s="41"/>
      <c r="E356" s="42">
        <f t="shared" si="52"/>
        <v>72</v>
      </c>
      <c r="F356" s="43"/>
      <c r="G356" s="43"/>
      <c r="H356" s="43"/>
      <c r="I356" s="44"/>
      <c r="J356" s="532">
        <v>72</v>
      </c>
      <c r="K356" s="43"/>
      <c r="L356" s="384"/>
      <c r="M356" s="701"/>
      <c r="N356" s="241"/>
    </row>
    <row r="357" spans="1:14" ht="40.5" customHeight="1">
      <c r="A357" s="699"/>
      <c r="B357" s="472" t="s">
        <v>271</v>
      </c>
      <c r="C357" s="745"/>
      <c r="D357" s="41"/>
      <c r="E357" s="42">
        <f t="shared" si="52"/>
        <v>415.516</v>
      </c>
      <c r="F357" s="43"/>
      <c r="G357" s="43"/>
      <c r="H357" s="43"/>
      <c r="I357" s="44"/>
      <c r="J357" s="532">
        <v>415.516</v>
      </c>
      <c r="K357" s="43"/>
      <c r="L357" s="384"/>
      <c r="M357" s="701"/>
      <c r="N357" s="241"/>
    </row>
    <row r="358" spans="1:14" ht="51.75" customHeight="1">
      <c r="A358" s="699"/>
      <c r="B358" s="472" t="s">
        <v>157</v>
      </c>
      <c r="C358" s="745"/>
      <c r="D358" s="41"/>
      <c r="E358" s="42">
        <f t="shared" si="52"/>
        <v>0</v>
      </c>
      <c r="F358" s="43"/>
      <c r="G358" s="43"/>
      <c r="H358" s="43"/>
      <c r="I358" s="44"/>
      <c r="J358" s="532">
        <v>0</v>
      </c>
      <c r="K358" s="43"/>
      <c r="L358" s="749" t="s">
        <v>77</v>
      </c>
      <c r="M358" s="701"/>
      <c r="N358" s="241"/>
    </row>
    <row r="359" spans="1:14" ht="40.5" customHeight="1">
      <c r="A359" s="699"/>
      <c r="B359" s="472" t="s">
        <v>158</v>
      </c>
      <c r="C359" s="745"/>
      <c r="D359" s="41"/>
      <c r="E359" s="42">
        <f t="shared" si="52"/>
        <v>0</v>
      </c>
      <c r="F359" s="43"/>
      <c r="G359" s="43"/>
      <c r="H359" s="43"/>
      <c r="I359" s="44"/>
      <c r="J359" s="532">
        <v>0</v>
      </c>
      <c r="K359" s="43"/>
      <c r="L359" s="749"/>
      <c r="M359" s="701"/>
      <c r="N359" s="241"/>
    </row>
    <row r="360" spans="1:14" ht="36.75" customHeight="1">
      <c r="A360" s="699"/>
      <c r="B360" s="472" t="s">
        <v>159</v>
      </c>
      <c r="C360" s="745"/>
      <c r="D360" s="41"/>
      <c r="E360" s="42">
        <f t="shared" si="52"/>
        <v>0</v>
      </c>
      <c r="F360" s="43"/>
      <c r="G360" s="43"/>
      <c r="H360" s="43"/>
      <c r="I360" s="44"/>
      <c r="J360" s="532">
        <v>0</v>
      </c>
      <c r="K360" s="43"/>
      <c r="L360" s="749"/>
      <c r="M360" s="701"/>
      <c r="N360" s="241"/>
    </row>
    <row r="361" spans="1:14" ht="39" customHeight="1">
      <c r="A361" s="699"/>
      <c r="B361" s="472" t="s">
        <v>160</v>
      </c>
      <c r="C361" s="745"/>
      <c r="D361" s="41"/>
      <c r="E361" s="42">
        <f t="shared" si="52"/>
        <v>0</v>
      </c>
      <c r="F361" s="43"/>
      <c r="G361" s="43"/>
      <c r="H361" s="43"/>
      <c r="I361" s="44"/>
      <c r="J361" s="532">
        <v>0</v>
      </c>
      <c r="K361" s="43"/>
      <c r="L361" s="749"/>
      <c r="M361" s="701"/>
      <c r="N361" s="241"/>
    </row>
    <row r="362" spans="1:14" ht="39" customHeight="1">
      <c r="A362" s="699"/>
      <c r="B362" s="473" t="s">
        <v>161</v>
      </c>
      <c r="C362" s="745"/>
      <c r="D362" s="41"/>
      <c r="E362" s="42">
        <f t="shared" si="52"/>
        <v>2693.325</v>
      </c>
      <c r="F362" s="43"/>
      <c r="G362" s="43"/>
      <c r="H362" s="43"/>
      <c r="I362" s="44"/>
      <c r="J362" s="532">
        <f>2693.325</f>
        <v>2693.325</v>
      </c>
      <c r="K362" s="43"/>
      <c r="L362" s="749"/>
      <c r="M362" s="701"/>
      <c r="N362" s="241"/>
    </row>
    <row r="363" spans="1:14" ht="19.5" customHeight="1">
      <c r="A363" s="699"/>
      <c r="B363" s="468" t="s">
        <v>162</v>
      </c>
      <c r="C363" s="745" t="s">
        <v>79</v>
      </c>
      <c r="D363" s="41"/>
      <c r="E363" s="42">
        <f t="shared" si="52"/>
        <v>899.5906500000001</v>
      </c>
      <c r="F363" s="43"/>
      <c r="G363" s="43"/>
      <c r="H363" s="43"/>
      <c r="I363" s="44"/>
      <c r="J363" s="533">
        <f>1042.721+729.809-150.078-45.5575-677.30385</f>
        <v>899.5906500000001</v>
      </c>
      <c r="K363" s="43"/>
      <c r="L363" s="736" t="s">
        <v>120</v>
      </c>
      <c r="M363" s="701"/>
      <c r="N363" s="241"/>
    </row>
    <row r="364" spans="1:14" ht="31.5" customHeight="1">
      <c r="A364" s="699"/>
      <c r="B364" s="474" t="s">
        <v>163</v>
      </c>
      <c r="C364" s="745"/>
      <c r="D364" s="41"/>
      <c r="E364" s="42">
        <f t="shared" si="52"/>
        <v>332.2075</v>
      </c>
      <c r="F364" s="43"/>
      <c r="G364" s="43"/>
      <c r="H364" s="43"/>
      <c r="I364" s="44"/>
      <c r="J364" s="552">
        <f>286.65+45.5575</f>
        <v>332.2075</v>
      </c>
      <c r="K364" s="43"/>
      <c r="L364" s="736"/>
      <c r="M364" s="701"/>
      <c r="N364" s="241"/>
    </row>
    <row r="365" spans="1:14" ht="31.5" customHeight="1">
      <c r="A365" s="699"/>
      <c r="B365" s="474" t="s">
        <v>164</v>
      </c>
      <c r="C365" s="475"/>
      <c r="D365" s="41"/>
      <c r="E365" s="42">
        <f t="shared" si="52"/>
        <v>150.078</v>
      </c>
      <c r="F365" s="43"/>
      <c r="G365" s="43"/>
      <c r="H365" s="43"/>
      <c r="I365" s="44"/>
      <c r="J365" s="552">
        <v>150.078</v>
      </c>
      <c r="K365" s="43"/>
      <c r="L365" s="280" t="s">
        <v>79</v>
      </c>
      <c r="M365" s="701"/>
      <c r="N365" s="241"/>
    </row>
    <row r="366" spans="1:14" ht="35.25" customHeight="1">
      <c r="A366" s="699"/>
      <c r="B366" s="476" t="s">
        <v>165</v>
      </c>
      <c r="C366" s="745" t="s">
        <v>300</v>
      </c>
      <c r="D366" s="41"/>
      <c r="E366" s="42">
        <f t="shared" si="52"/>
        <v>0</v>
      </c>
      <c r="F366" s="43"/>
      <c r="G366" s="43"/>
      <c r="H366" s="43"/>
      <c r="I366" s="44"/>
      <c r="J366" s="533">
        <v>0</v>
      </c>
      <c r="K366" s="43"/>
      <c r="L366" s="736" t="s">
        <v>120</v>
      </c>
      <c r="M366" s="701"/>
      <c r="N366" s="241"/>
    </row>
    <row r="367" spans="1:14" ht="33" customHeight="1">
      <c r="A367" s="699"/>
      <c r="B367" s="468" t="s">
        <v>166</v>
      </c>
      <c r="C367" s="745"/>
      <c r="D367" s="41"/>
      <c r="E367" s="42">
        <f t="shared" si="52"/>
        <v>0</v>
      </c>
      <c r="F367" s="43"/>
      <c r="G367" s="43"/>
      <c r="H367" s="43"/>
      <c r="I367" s="44"/>
      <c r="J367" s="533">
        <v>0</v>
      </c>
      <c r="K367" s="43"/>
      <c r="L367" s="736"/>
      <c r="M367" s="701"/>
      <c r="N367" s="241"/>
    </row>
    <row r="368" spans="1:14" ht="36.75" customHeight="1">
      <c r="A368" s="699"/>
      <c r="B368" s="468" t="s">
        <v>167</v>
      </c>
      <c r="C368" s="745"/>
      <c r="D368" s="41"/>
      <c r="E368" s="42">
        <f t="shared" si="52"/>
        <v>782.0835</v>
      </c>
      <c r="F368" s="43"/>
      <c r="G368" s="43"/>
      <c r="H368" s="43"/>
      <c r="I368" s="44"/>
      <c r="J368" s="533">
        <v>782.0835</v>
      </c>
      <c r="K368" s="43"/>
      <c r="L368" s="736"/>
      <c r="M368" s="701"/>
      <c r="N368" s="241"/>
    </row>
    <row r="369" spans="1:14" ht="21" customHeight="1">
      <c r="A369" s="699"/>
      <c r="B369" s="468"/>
      <c r="C369" s="745"/>
      <c r="D369" s="41"/>
      <c r="E369" s="42">
        <f t="shared" si="52"/>
        <v>0</v>
      </c>
      <c r="F369" s="43"/>
      <c r="G369" s="43"/>
      <c r="H369" s="43"/>
      <c r="I369" s="44"/>
      <c r="J369" s="533"/>
      <c r="K369" s="43"/>
      <c r="L369" s="736"/>
      <c r="M369" s="701"/>
      <c r="N369" s="241"/>
    </row>
    <row r="370" spans="1:14" ht="32.25" customHeight="1" thickBot="1">
      <c r="A370" s="699"/>
      <c r="B370" s="474" t="s">
        <v>168</v>
      </c>
      <c r="C370" s="745"/>
      <c r="D370" s="41"/>
      <c r="E370" s="43">
        <f t="shared" si="52"/>
        <v>32.154</v>
      </c>
      <c r="F370" s="43"/>
      <c r="G370" s="43"/>
      <c r="H370" s="43"/>
      <c r="I370" s="44"/>
      <c r="J370" s="545">
        <v>32.154</v>
      </c>
      <c r="K370" s="43"/>
      <c r="L370" s="274" t="s">
        <v>300</v>
      </c>
      <c r="M370" s="701"/>
      <c r="N370" s="241"/>
    </row>
    <row r="371" spans="1:14" ht="42.75" customHeight="1" thickBot="1">
      <c r="A371" s="699"/>
      <c r="B371" s="37" t="s">
        <v>115</v>
      </c>
      <c r="C371" s="46"/>
      <c r="D371" s="47">
        <v>2022</v>
      </c>
      <c r="E371" s="48">
        <f>G371+J371</f>
        <v>9595.45441</v>
      </c>
      <c r="F371" s="48">
        <f>F372</f>
        <v>0</v>
      </c>
      <c r="G371" s="39">
        <f>H371+I371</f>
        <v>0</v>
      </c>
      <c r="H371" s="48">
        <f>H372</f>
        <v>0</v>
      </c>
      <c r="I371" s="48">
        <f>I372+I373+I374+I375+I376+I382+I383+I384+I385+I386+I387+I388+I389+I390+I391+I392+I393+I394+I395+I396+I397+I398+I399+I401</f>
        <v>0</v>
      </c>
      <c r="J371" s="550">
        <f>J372+J373+J374+J375+J376+J377+J378+J379+J380+J381+J382+J383+J384+J385+J386+J387+J388+J389+J390+J391+J392+J393+J394+J395+J396+J397+J398+J399+J400+J401+J402+J403+J404+J405+J406+J407+J408+J409</f>
        <v>9595.45441</v>
      </c>
      <c r="K371" s="49">
        <f>K372</f>
        <v>0</v>
      </c>
      <c r="L371" s="477"/>
      <c r="M371" s="701"/>
      <c r="N371" s="241"/>
    </row>
    <row r="372" spans="1:14" ht="38.25" customHeight="1" thickBot="1">
      <c r="A372" s="699"/>
      <c r="B372" s="154" t="s">
        <v>272</v>
      </c>
      <c r="C372" s="16" t="s">
        <v>83</v>
      </c>
      <c r="D372" s="51"/>
      <c r="E372" s="52">
        <f aca="true" t="shared" si="53" ref="E372:E409">F372+G372+J372+K372</f>
        <v>1431.92097</v>
      </c>
      <c r="F372" s="52"/>
      <c r="G372" s="42">
        <f>H372+I372</f>
        <v>0</v>
      </c>
      <c r="H372" s="52"/>
      <c r="I372" s="53"/>
      <c r="J372" s="52">
        <v>1431.92097</v>
      </c>
      <c r="K372" s="52"/>
      <c r="L372" s="746" t="s">
        <v>120</v>
      </c>
      <c r="M372" s="701"/>
      <c r="N372" s="747"/>
    </row>
    <row r="373" spans="1:14" ht="39.75" customHeight="1" thickBot="1">
      <c r="A373" s="699"/>
      <c r="B373" s="478" t="s">
        <v>273</v>
      </c>
      <c r="C373" s="16" t="s">
        <v>83</v>
      </c>
      <c r="D373" s="4"/>
      <c r="E373" s="52">
        <f t="shared" si="53"/>
        <v>104.869</v>
      </c>
      <c r="F373" s="42"/>
      <c r="G373" s="42"/>
      <c r="H373" s="42"/>
      <c r="I373" s="42"/>
      <c r="J373" s="42">
        <v>104.869</v>
      </c>
      <c r="K373" s="42"/>
      <c r="L373" s="746"/>
      <c r="M373" s="701"/>
      <c r="N373" s="748"/>
    </row>
    <row r="374" spans="1:14" ht="36.75" customHeight="1">
      <c r="A374" s="699"/>
      <c r="B374" s="478" t="s">
        <v>350</v>
      </c>
      <c r="C374" s="16" t="s">
        <v>83</v>
      </c>
      <c r="D374" s="4"/>
      <c r="E374" s="52">
        <f t="shared" si="53"/>
        <v>40.423</v>
      </c>
      <c r="F374" s="42"/>
      <c r="G374" s="42"/>
      <c r="H374" s="42"/>
      <c r="I374" s="42"/>
      <c r="J374" s="42">
        <v>40.423</v>
      </c>
      <c r="K374" s="42"/>
      <c r="L374" s="746"/>
      <c r="M374" s="701"/>
      <c r="N374" s="748"/>
    </row>
    <row r="375" spans="1:14" ht="65.25" customHeight="1">
      <c r="A375" s="699"/>
      <c r="B375" s="478" t="s">
        <v>274</v>
      </c>
      <c r="C375" s="16" t="s">
        <v>84</v>
      </c>
      <c r="D375" s="4"/>
      <c r="E375" s="52">
        <f t="shared" si="53"/>
        <v>0</v>
      </c>
      <c r="F375" s="42"/>
      <c r="G375" s="42"/>
      <c r="H375" s="42"/>
      <c r="I375" s="42"/>
      <c r="J375" s="42">
        <v>0</v>
      </c>
      <c r="K375" s="42"/>
      <c r="L375" s="736" t="s">
        <v>120</v>
      </c>
      <c r="M375" s="701"/>
      <c r="N375" s="241"/>
    </row>
    <row r="376" spans="1:14" ht="39.75" customHeight="1">
      <c r="A376" s="699"/>
      <c r="B376" s="478" t="s">
        <v>275</v>
      </c>
      <c r="C376" s="16" t="s">
        <v>84</v>
      </c>
      <c r="D376" s="4"/>
      <c r="E376" s="52">
        <f t="shared" si="53"/>
        <v>691.467</v>
      </c>
      <c r="F376" s="42"/>
      <c r="G376" s="42"/>
      <c r="H376" s="42"/>
      <c r="I376" s="42"/>
      <c r="J376" s="42">
        <v>691.467</v>
      </c>
      <c r="K376" s="42"/>
      <c r="L376" s="736"/>
      <c r="M376" s="701"/>
      <c r="N376" s="241"/>
    </row>
    <row r="377" spans="1:14" ht="39.75" customHeight="1">
      <c r="A377" s="699"/>
      <c r="B377" s="478" t="s">
        <v>293</v>
      </c>
      <c r="C377" s="16" t="s">
        <v>85</v>
      </c>
      <c r="D377" s="4"/>
      <c r="E377" s="52">
        <f t="shared" si="53"/>
        <v>77.914</v>
      </c>
      <c r="F377" s="42"/>
      <c r="G377" s="42"/>
      <c r="H377" s="42"/>
      <c r="I377" s="42"/>
      <c r="J377" s="42">
        <v>77.914</v>
      </c>
      <c r="K377" s="42"/>
      <c r="L377" s="739" t="s">
        <v>51</v>
      </c>
      <c r="M377" s="701"/>
      <c r="N377" s="241"/>
    </row>
    <row r="378" spans="1:14" ht="39.75" customHeight="1">
      <c r="A378" s="699"/>
      <c r="B378" s="478" t="s">
        <v>294</v>
      </c>
      <c r="C378" s="16" t="s">
        <v>85</v>
      </c>
      <c r="D378" s="4"/>
      <c r="E378" s="52">
        <f t="shared" si="53"/>
        <v>94.94999999999999</v>
      </c>
      <c r="F378" s="42"/>
      <c r="G378" s="42"/>
      <c r="H378" s="42"/>
      <c r="I378" s="42"/>
      <c r="J378" s="42">
        <f>94.85+0.1</f>
        <v>94.94999999999999</v>
      </c>
      <c r="K378" s="42"/>
      <c r="L378" s="740"/>
      <c r="M378" s="701"/>
      <c r="N378" s="241"/>
    </row>
    <row r="379" spans="1:14" ht="39.75" customHeight="1">
      <c r="A379" s="699"/>
      <c r="B379" s="478" t="s">
        <v>295</v>
      </c>
      <c r="C379" s="16" t="s">
        <v>85</v>
      </c>
      <c r="D379" s="4"/>
      <c r="E379" s="52">
        <f t="shared" si="53"/>
        <v>50</v>
      </c>
      <c r="F379" s="42"/>
      <c r="G379" s="42"/>
      <c r="H379" s="42"/>
      <c r="I379" s="42"/>
      <c r="J379" s="42">
        <v>50</v>
      </c>
      <c r="K379" s="42"/>
      <c r="L379" s="740"/>
      <c r="M379" s="701"/>
      <c r="N379" s="241"/>
    </row>
    <row r="380" spans="1:14" ht="39.75" customHeight="1">
      <c r="A380" s="699"/>
      <c r="B380" s="478" t="s">
        <v>351</v>
      </c>
      <c r="C380" s="16" t="s">
        <v>85</v>
      </c>
      <c r="D380" s="4"/>
      <c r="E380" s="52">
        <f t="shared" si="53"/>
        <v>86.945</v>
      </c>
      <c r="F380" s="42"/>
      <c r="G380" s="42"/>
      <c r="H380" s="42"/>
      <c r="I380" s="42"/>
      <c r="J380" s="42">
        <v>86.945</v>
      </c>
      <c r="K380" s="42"/>
      <c r="L380" s="740"/>
      <c r="M380" s="701"/>
      <c r="N380" s="241"/>
    </row>
    <row r="381" spans="1:14" ht="59.25" customHeight="1">
      <c r="A381" s="699"/>
      <c r="B381" s="478" t="s">
        <v>296</v>
      </c>
      <c r="C381" s="16" t="s">
        <v>85</v>
      </c>
      <c r="D381" s="4"/>
      <c r="E381" s="52">
        <f t="shared" si="53"/>
        <v>50</v>
      </c>
      <c r="F381" s="42"/>
      <c r="G381" s="42"/>
      <c r="H381" s="42"/>
      <c r="I381" s="42"/>
      <c r="J381" s="42">
        <v>50</v>
      </c>
      <c r="K381" s="42"/>
      <c r="L381" s="741"/>
      <c r="M381" s="701"/>
      <c r="N381" s="241"/>
    </row>
    <row r="382" spans="1:14" ht="54.75" customHeight="1">
      <c r="A382" s="699"/>
      <c r="B382" s="478" t="s">
        <v>276</v>
      </c>
      <c r="C382" s="242" t="s">
        <v>77</v>
      </c>
      <c r="D382" s="4"/>
      <c r="E382" s="52">
        <f t="shared" si="53"/>
        <v>0</v>
      </c>
      <c r="F382" s="42"/>
      <c r="G382" s="42"/>
      <c r="H382" s="42"/>
      <c r="I382" s="42"/>
      <c r="J382" s="42">
        <v>0</v>
      </c>
      <c r="K382" s="42"/>
      <c r="L382" s="736" t="s">
        <v>120</v>
      </c>
      <c r="M382" s="701"/>
      <c r="N382" s="241"/>
    </row>
    <row r="383" spans="1:14" ht="30" customHeight="1">
      <c r="A383" s="699"/>
      <c r="B383" s="478" t="s">
        <v>277</v>
      </c>
      <c r="C383" s="242" t="s">
        <v>77</v>
      </c>
      <c r="D383" s="4"/>
      <c r="E383" s="52">
        <f t="shared" si="53"/>
        <v>198.5</v>
      </c>
      <c r="F383" s="42"/>
      <c r="G383" s="42"/>
      <c r="H383" s="42"/>
      <c r="I383" s="42"/>
      <c r="J383" s="42">
        <v>198.5</v>
      </c>
      <c r="K383" s="42"/>
      <c r="L383" s="736"/>
      <c r="M383" s="701"/>
      <c r="N383" s="241"/>
    </row>
    <row r="384" spans="1:14" ht="30" customHeight="1">
      <c r="A384" s="699"/>
      <c r="B384" s="478" t="s">
        <v>278</v>
      </c>
      <c r="C384" s="242" t="s">
        <v>79</v>
      </c>
      <c r="D384" s="4"/>
      <c r="E384" s="52">
        <f t="shared" si="53"/>
        <v>1172.29383</v>
      </c>
      <c r="F384" s="42"/>
      <c r="G384" s="42"/>
      <c r="H384" s="42"/>
      <c r="I384" s="42"/>
      <c r="J384" s="42">
        <v>1172.29383</v>
      </c>
      <c r="K384" s="42"/>
      <c r="L384" s="736" t="s">
        <v>120</v>
      </c>
      <c r="M384" s="701"/>
      <c r="N384" s="241"/>
    </row>
    <row r="385" spans="1:14" ht="30" customHeight="1">
      <c r="A385" s="699"/>
      <c r="B385" s="478" t="s">
        <v>279</v>
      </c>
      <c r="C385" s="242" t="s">
        <v>79</v>
      </c>
      <c r="D385" s="4"/>
      <c r="E385" s="52">
        <f t="shared" si="53"/>
        <v>453.86547</v>
      </c>
      <c r="F385" s="42"/>
      <c r="G385" s="42"/>
      <c r="H385" s="42"/>
      <c r="I385" s="42"/>
      <c r="J385" s="42">
        <v>453.86547</v>
      </c>
      <c r="K385" s="42"/>
      <c r="L385" s="736"/>
      <c r="M385" s="701"/>
      <c r="N385" s="241"/>
    </row>
    <row r="386" spans="1:14" ht="32.25" customHeight="1">
      <c r="A386" s="699"/>
      <c r="B386" s="478" t="s">
        <v>280</v>
      </c>
      <c r="C386" s="242" t="s">
        <v>79</v>
      </c>
      <c r="D386" s="4"/>
      <c r="E386" s="52">
        <f t="shared" si="53"/>
        <v>0</v>
      </c>
      <c r="F386" s="42"/>
      <c r="G386" s="42"/>
      <c r="H386" s="42"/>
      <c r="I386" s="42"/>
      <c r="J386" s="42">
        <v>0</v>
      </c>
      <c r="K386" s="42"/>
      <c r="L386" s="736"/>
      <c r="M386" s="701"/>
      <c r="N386" s="241"/>
    </row>
    <row r="387" spans="1:14" ht="39.75" customHeight="1">
      <c r="A387" s="699"/>
      <c r="B387" s="478" t="s">
        <v>280</v>
      </c>
      <c r="C387" s="242" t="s">
        <v>79</v>
      </c>
      <c r="D387" s="4"/>
      <c r="E387" s="52">
        <f>F387+G387+J387+K387+I387</f>
        <v>0</v>
      </c>
      <c r="F387" s="42"/>
      <c r="G387" s="42"/>
      <c r="H387" s="42"/>
      <c r="I387" s="42">
        <v>0</v>
      </c>
      <c r="J387" s="42">
        <v>0</v>
      </c>
      <c r="K387" s="42"/>
      <c r="L387" s="736"/>
      <c r="M387" s="701"/>
      <c r="N387" s="241"/>
    </row>
    <row r="388" spans="1:14" ht="47.25" customHeight="1" thickBot="1">
      <c r="A388" s="699"/>
      <c r="B388" s="478" t="s">
        <v>281</v>
      </c>
      <c r="C388" s="29" t="s">
        <v>300</v>
      </c>
      <c r="D388" s="4"/>
      <c r="E388" s="52">
        <f t="shared" si="53"/>
        <v>469.3685</v>
      </c>
      <c r="F388" s="42"/>
      <c r="G388" s="42"/>
      <c r="H388" s="42"/>
      <c r="I388" s="42"/>
      <c r="J388" s="42">
        <v>469.3685</v>
      </c>
      <c r="K388" s="42"/>
      <c r="L388" s="303" t="s">
        <v>120</v>
      </c>
      <c r="M388" s="701"/>
      <c r="N388" s="241"/>
    </row>
    <row r="389" spans="1:14" ht="43.5" customHeight="1" thickBot="1">
      <c r="A389" s="699"/>
      <c r="B389" s="478" t="s">
        <v>282</v>
      </c>
      <c r="C389" s="29" t="s">
        <v>300</v>
      </c>
      <c r="D389" s="4"/>
      <c r="E389" s="52">
        <f t="shared" si="53"/>
        <v>333.74</v>
      </c>
      <c r="F389" s="42"/>
      <c r="G389" s="42"/>
      <c r="H389" s="42"/>
      <c r="I389" s="42"/>
      <c r="J389" s="42">
        <v>333.74</v>
      </c>
      <c r="K389" s="42"/>
      <c r="L389" s="303" t="s">
        <v>51</v>
      </c>
      <c r="M389" s="701"/>
      <c r="N389" s="241"/>
    </row>
    <row r="390" spans="1:14" ht="43.5" customHeight="1">
      <c r="A390" s="699"/>
      <c r="B390" s="478" t="s">
        <v>283</v>
      </c>
      <c r="C390" s="16" t="s">
        <v>84</v>
      </c>
      <c r="D390" s="4"/>
      <c r="E390" s="52">
        <f t="shared" si="53"/>
        <v>400</v>
      </c>
      <c r="F390" s="42"/>
      <c r="G390" s="42"/>
      <c r="H390" s="42"/>
      <c r="I390" s="42"/>
      <c r="J390" s="42">
        <v>400</v>
      </c>
      <c r="K390" s="42"/>
      <c r="L390" s="303" t="s">
        <v>51</v>
      </c>
      <c r="M390" s="701"/>
      <c r="N390" s="241"/>
    </row>
    <row r="391" spans="1:14" ht="41.25" customHeight="1">
      <c r="A391" s="699"/>
      <c r="B391" s="478" t="s">
        <v>352</v>
      </c>
      <c r="C391" s="242" t="s">
        <v>79</v>
      </c>
      <c r="D391" s="4"/>
      <c r="E391" s="52">
        <f t="shared" si="53"/>
        <v>59.907</v>
      </c>
      <c r="F391" s="42"/>
      <c r="G391" s="42"/>
      <c r="H391" s="42"/>
      <c r="I391" s="42"/>
      <c r="J391" s="42">
        <v>59.907</v>
      </c>
      <c r="K391" s="42"/>
      <c r="L391" s="303"/>
      <c r="M391" s="701"/>
      <c r="N391" s="241"/>
    </row>
    <row r="392" spans="1:14" ht="51.75" customHeight="1">
      <c r="A392" s="699"/>
      <c r="B392" s="478" t="s">
        <v>353</v>
      </c>
      <c r="C392" s="242" t="s">
        <v>79</v>
      </c>
      <c r="D392" s="4"/>
      <c r="E392" s="52">
        <f t="shared" si="53"/>
        <v>185.714</v>
      </c>
      <c r="F392" s="42"/>
      <c r="G392" s="42"/>
      <c r="H392" s="42"/>
      <c r="I392" s="42"/>
      <c r="J392" s="42">
        <v>185.714</v>
      </c>
      <c r="K392" s="42"/>
      <c r="L392" s="303" t="s">
        <v>51</v>
      </c>
      <c r="M392" s="701"/>
      <c r="N392" s="241"/>
    </row>
    <row r="393" spans="1:14" ht="63.75" customHeight="1">
      <c r="A393" s="699"/>
      <c r="B393" s="478" t="s">
        <v>284</v>
      </c>
      <c r="C393" s="242" t="s">
        <v>77</v>
      </c>
      <c r="D393" s="4"/>
      <c r="E393" s="52">
        <f t="shared" si="53"/>
        <v>162.495</v>
      </c>
      <c r="F393" s="42"/>
      <c r="G393" s="42"/>
      <c r="H393" s="42"/>
      <c r="I393" s="42"/>
      <c r="J393" s="42">
        <v>162.495</v>
      </c>
      <c r="K393" s="43"/>
      <c r="L393" s="614" t="s">
        <v>51</v>
      </c>
      <c r="M393" s="701"/>
      <c r="N393" s="241">
        <v>143.932</v>
      </c>
    </row>
    <row r="394" spans="1:14" ht="62.25" customHeight="1">
      <c r="A394" s="755"/>
      <c r="B394" s="478" t="s">
        <v>354</v>
      </c>
      <c r="C394" s="242" t="s">
        <v>77</v>
      </c>
      <c r="D394" s="4"/>
      <c r="E394" s="52">
        <f t="shared" si="53"/>
        <v>411.507</v>
      </c>
      <c r="F394" s="42"/>
      <c r="G394" s="42"/>
      <c r="H394" s="42"/>
      <c r="I394" s="42"/>
      <c r="J394" s="42">
        <v>411.507</v>
      </c>
      <c r="K394" s="240"/>
      <c r="L394" s="738" t="s">
        <v>51</v>
      </c>
      <c r="M394" s="701"/>
      <c r="N394" s="241"/>
    </row>
    <row r="395" spans="1:14" ht="96" customHeight="1">
      <c r="A395" s="755"/>
      <c r="B395" s="478" t="s">
        <v>289</v>
      </c>
      <c r="C395" s="16" t="s">
        <v>84</v>
      </c>
      <c r="D395" s="4"/>
      <c r="E395" s="52">
        <f t="shared" si="53"/>
        <v>143.932</v>
      </c>
      <c r="F395" s="42"/>
      <c r="G395" s="42"/>
      <c r="H395" s="42"/>
      <c r="I395" s="42"/>
      <c r="J395" s="42">
        <v>143.932</v>
      </c>
      <c r="K395" s="240"/>
      <c r="L395" s="738"/>
      <c r="M395" s="701"/>
      <c r="N395" s="241"/>
    </row>
    <row r="396" spans="1:14" ht="58.5" customHeight="1">
      <c r="A396" s="755"/>
      <c r="B396" s="478" t="s">
        <v>355</v>
      </c>
      <c r="C396" s="16" t="s">
        <v>84</v>
      </c>
      <c r="D396" s="4"/>
      <c r="E396" s="52">
        <f t="shared" si="53"/>
        <v>61.535</v>
      </c>
      <c r="F396" s="42"/>
      <c r="G396" s="42"/>
      <c r="H396" s="42"/>
      <c r="I396" s="42"/>
      <c r="J396" s="42">
        <v>61.535</v>
      </c>
      <c r="K396" s="240"/>
      <c r="L396" s="738"/>
      <c r="M396" s="701"/>
      <c r="N396" s="241"/>
    </row>
    <row r="397" spans="1:14" ht="30" customHeight="1">
      <c r="A397" s="755"/>
      <c r="B397" s="478" t="s">
        <v>356</v>
      </c>
      <c r="C397" s="16" t="s">
        <v>84</v>
      </c>
      <c r="D397" s="4"/>
      <c r="E397" s="52">
        <f t="shared" si="53"/>
        <v>60.16185</v>
      </c>
      <c r="F397" s="42"/>
      <c r="G397" s="42"/>
      <c r="H397" s="42"/>
      <c r="I397" s="42"/>
      <c r="J397" s="42">
        <v>60.16185</v>
      </c>
      <c r="K397" s="240"/>
      <c r="L397" s="738"/>
      <c r="M397" s="701"/>
      <c r="N397" s="241"/>
    </row>
    <row r="398" spans="1:14" ht="41.25" customHeight="1">
      <c r="A398" s="755"/>
      <c r="B398" s="478" t="s">
        <v>357</v>
      </c>
      <c r="C398" s="16" t="s">
        <v>84</v>
      </c>
      <c r="D398" s="4"/>
      <c r="E398" s="52">
        <f t="shared" si="53"/>
        <v>110.975</v>
      </c>
      <c r="F398" s="42"/>
      <c r="G398" s="42"/>
      <c r="H398" s="42"/>
      <c r="I398" s="42"/>
      <c r="J398" s="42">
        <v>110.975</v>
      </c>
      <c r="K398" s="240"/>
      <c r="L398" s="738"/>
      <c r="M398" s="701"/>
      <c r="N398" s="241"/>
    </row>
    <row r="399" spans="1:14" ht="58.5" customHeight="1">
      <c r="A399" s="755"/>
      <c r="B399" s="478" t="s">
        <v>358</v>
      </c>
      <c r="C399" s="16" t="s">
        <v>233</v>
      </c>
      <c r="D399" s="4"/>
      <c r="E399" s="52">
        <f t="shared" si="53"/>
        <v>180.702</v>
      </c>
      <c r="F399" s="42"/>
      <c r="G399" s="42"/>
      <c r="H399" s="42"/>
      <c r="I399" s="42"/>
      <c r="J399" s="42">
        <v>180.702</v>
      </c>
      <c r="K399" s="240"/>
      <c r="L399" s="738"/>
      <c r="M399" s="701"/>
      <c r="N399" s="241"/>
    </row>
    <row r="400" spans="1:14" ht="84" customHeight="1">
      <c r="A400" s="755"/>
      <c r="B400" s="478" t="s">
        <v>359</v>
      </c>
      <c r="C400" s="16" t="s">
        <v>84</v>
      </c>
      <c r="D400" s="4"/>
      <c r="E400" s="52">
        <f t="shared" si="53"/>
        <v>36</v>
      </c>
      <c r="F400" s="42"/>
      <c r="G400" s="42"/>
      <c r="H400" s="42"/>
      <c r="I400" s="42"/>
      <c r="J400" s="42">
        <v>36</v>
      </c>
      <c r="K400" s="240"/>
      <c r="L400" s="738"/>
      <c r="M400" s="701"/>
      <c r="N400" s="241"/>
    </row>
    <row r="401" spans="1:14" ht="41.25" customHeight="1">
      <c r="A401" s="755"/>
      <c r="B401" s="478" t="s">
        <v>360</v>
      </c>
      <c r="C401" s="16" t="s">
        <v>84</v>
      </c>
      <c r="D401" s="4"/>
      <c r="E401" s="52">
        <f t="shared" si="53"/>
        <v>246.673</v>
      </c>
      <c r="F401" s="42"/>
      <c r="G401" s="42"/>
      <c r="H401" s="42"/>
      <c r="I401" s="42"/>
      <c r="J401" s="42">
        <v>246.673</v>
      </c>
      <c r="K401" s="240"/>
      <c r="L401" s="738"/>
      <c r="M401" s="701"/>
      <c r="N401" s="241"/>
    </row>
    <row r="402" spans="1:14" ht="60.75" customHeight="1">
      <c r="A402" s="755"/>
      <c r="B402" s="478" t="s">
        <v>361</v>
      </c>
      <c r="C402" s="16" t="s">
        <v>84</v>
      </c>
      <c r="D402" s="4"/>
      <c r="E402" s="52">
        <f t="shared" si="53"/>
        <v>81.973</v>
      </c>
      <c r="F402" s="42"/>
      <c r="G402" s="42"/>
      <c r="H402" s="42"/>
      <c r="I402" s="42"/>
      <c r="J402" s="42">
        <v>81.973</v>
      </c>
      <c r="K402" s="240"/>
      <c r="L402" s="381"/>
      <c r="M402" s="701"/>
      <c r="N402" s="241"/>
    </row>
    <row r="403" spans="1:14" ht="41.25" customHeight="1">
      <c r="A403" s="755"/>
      <c r="B403" s="478" t="s">
        <v>285</v>
      </c>
      <c r="C403" s="16" t="s">
        <v>83</v>
      </c>
      <c r="D403" s="4"/>
      <c r="E403" s="52">
        <f t="shared" si="53"/>
        <v>562.466</v>
      </c>
      <c r="F403" s="42"/>
      <c r="G403" s="42"/>
      <c r="H403" s="42"/>
      <c r="I403" s="42"/>
      <c r="J403" s="42">
        <v>562.466</v>
      </c>
      <c r="K403" s="240"/>
      <c r="L403" s="381"/>
      <c r="M403" s="701"/>
      <c r="N403" s="241"/>
    </row>
    <row r="404" spans="1:14" ht="41.25" customHeight="1">
      <c r="A404" s="755"/>
      <c r="B404" s="636" t="s">
        <v>362</v>
      </c>
      <c r="C404" s="16" t="s">
        <v>83</v>
      </c>
      <c r="D404" s="155"/>
      <c r="E404" s="52">
        <f t="shared" si="53"/>
        <v>357</v>
      </c>
      <c r="F404" s="42"/>
      <c r="G404" s="42"/>
      <c r="H404" s="42"/>
      <c r="I404" s="42"/>
      <c r="J404" s="42">
        <v>357</v>
      </c>
      <c r="K404" s="240"/>
      <c r="L404" s="381"/>
      <c r="M404" s="701"/>
      <c r="N404" s="241"/>
    </row>
    <row r="405" spans="1:14" ht="41.25" customHeight="1">
      <c r="A405" s="755"/>
      <c r="B405" s="636" t="s">
        <v>286</v>
      </c>
      <c r="C405" s="645" t="s">
        <v>83</v>
      </c>
      <c r="D405" s="4"/>
      <c r="E405" s="52">
        <f t="shared" si="53"/>
        <v>60.598</v>
      </c>
      <c r="F405" s="42"/>
      <c r="G405" s="42"/>
      <c r="H405" s="42"/>
      <c r="I405" s="42"/>
      <c r="J405" s="42">
        <v>60.598</v>
      </c>
      <c r="K405" s="240"/>
      <c r="L405" s="381"/>
      <c r="M405" s="701"/>
      <c r="N405" s="241"/>
    </row>
    <row r="406" spans="1:14" ht="41.25" customHeight="1">
      <c r="A406" s="755"/>
      <c r="B406" s="636" t="s">
        <v>287</v>
      </c>
      <c r="C406" s="645"/>
      <c r="D406" s="4"/>
      <c r="E406" s="52">
        <f t="shared" si="53"/>
        <v>29.216</v>
      </c>
      <c r="F406" s="42"/>
      <c r="G406" s="42"/>
      <c r="H406" s="42"/>
      <c r="I406" s="42"/>
      <c r="J406" s="42">
        <v>29.216</v>
      </c>
      <c r="K406" s="240"/>
      <c r="L406" s="381"/>
      <c r="M406" s="701"/>
      <c r="N406" s="241"/>
    </row>
    <row r="407" spans="1:14" ht="41.25" customHeight="1">
      <c r="A407" s="755"/>
      <c r="B407" s="636" t="s">
        <v>288</v>
      </c>
      <c r="C407" s="646"/>
      <c r="D407" s="4"/>
      <c r="E407" s="42">
        <f t="shared" si="53"/>
        <v>856.85879</v>
      </c>
      <c r="F407" s="42"/>
      <c r="G407" s="42"/>
      <c r="H407" s="42"/>
      <c r="I407" s="42"/>
      <c r="J407" s="42">
        <v>856.85879</v>
      </c>
      <c r="K407" s="240"/>
      <c r="L407" s="381"/>
      <c r="M407" s="701"/>
      <c r="N407" s="241"/>
    </row>
    <row r="408" spans="1:14" ht="41.25" customHeight="1">
      <c r="A408" s="755"/>
      <c r="B408" s="637" t="s">
        <v>363</v>
      </c>
      <c r="C408" s="16" t="s">
        <v>83</v>
      </c>
      <c r="D408" s="155"/>
      <c r="E408" s="42">
        <f t="shared" si="53"/>
        <v>43</v>
      </c>
      <c r="F408" s="42"/>
      <c r="G408" s="42"/>
      <c r="H408" s="42"/>
      <c r="I408" s="42"/>
      <c r="J408" s="42">
        <v>43</v>
      </c>
      <c r="K408" s="240"/>
      <c r="L408" s="381"/>
      <c r="M408" s="701"/>
      <c r="N408" s="241"/>
    </row>
    <row r="409" spans="1:14" ht="86.25" customHeight="1">
      <c r="A409" s="755"/>
      <c r="B409" s="246" t="s">
        <v>290</v>
      </c>
      <c r="C409" s="638" t="s">
        <v>83</v>
      </c>
      <c r="D409" s="155"/>
      <c r="E409" s="42">
        <f t="shared" si="53"/>
        <v>288.484</v>
      </c>
      <c r="F409" s="42"/>
      <c r="G409" s="42"/>
      <c r="H409" s="42"/>
      <c r="I409" s="42"/>
      <c r="J409" s="42">
        <v>288.484</v>
      </c>
      <c r="K409" s="240"/>
      <c r="L409" s="381"/>
      <c r="M409" s="701"/>
      <c r="N409" s="241"/>
    </row>
    <row r="410" spans="1:14" ht="41.25" customHeight="1" thickBot="1">
      <c r="A410" s="755"/>
      <c r="B410" s="617" t="s">
        <v>115</v>
      </c>
      <c r="C410" s="618"/>
      <c r="D410" s="619">
        <v>2023</v>
      </c>
      <c r="E410" s="425">
        <f>G410+J410</f>
        <v>16683.3</v>
      </c>
      <c r="F410" s="425">
        <f>F411</f>
        <v>0</v>
      </c>
      <c r="G410" s="53">
        <f>H410+I410</f>
        <v>0</v>
      </c>
      <c r="H410" s="425">
        <f>H411</f>
        <v>0</v>
      </c>
      <c r="I410" s="425">
        <v>0</v>
      </c>
      <c r="J410" s="620">
        <f>J411+J412+J413+J414</f>
        <v>16683.3</v>
      </c>
      <c r="K410" s="621">
        <f>K411</f>
        <v>0</v>
      </c>
      <c r="L410" s="622"/>
      <c r="M410" s="701"/>
      <c r="N410" s="241"/>
    </row>
    <row r="411" spans="1:14" ht="41.25" customHeight="1">
      <c r="A411" s="755"/>
      <c r="B411" s="377"/>
      <c r="C411" s="242" t="s">
        <v>79</v>
      </c>
      <c r="D411" s="369"/>
      <c r="E411" s="52">
        <f aca="true" t="shared" si="54" ref="E411:E437">F411+G411+J411+K411</f>
        <v>6104</v>
      </c>
      <c r="F411" s="240"/>
      <c r="G411" s="240"/>
      <c r="H411" s="240"/>
      <c r="I411" s="240"/>
      <c r="J411" s="555">
        <v>6104</v>
      </c>
      <c r="K411" s="240"/>
      <c r="L411" s="851" t="s">
        <v>51</v>
      </c>
      <c r="M411" s="701"/>
      <c r="N411" s="241"/>
    </row>
    <row r="412" spans="1:14" ht="41.25" customHeight="1">
      <c r="A412" s="755"/>
      <c r="B412" s="246"/>
      <c r="C412" s="16" t="s">
        <v>83</v>
      </c>
      <c r="D412" s="369"/>
      <c r="E412" s="52">
        <f t="shared" si="54"/>
        <v>6422.75</v>
      </c>
      <c r="F412" s="240"/>
      <c r="G412" s="240"/>
      <c r="H412" s="240"/>
      <c r="I412" s="240"/>
      <c r="J412" s="555">
        <v>6422.75</v>
      </c>
      <c r="K412" s="240"/>
      <c r="L412" s="852"/>
      <c r="M412" s="701"/>
      <c r="N412" s="241"/>
    </row>
    <row r="413" spans="1:14" ht="41.25" customHeight="1">
      <c r="A413" s="755"/>
      <c r="B413" s="246"/>
      <c r="C413" s="16" t="s">
        <v>84</v>
      </c>
      <c r="D413" s="369"/>
      <c r="E413" s="52">
        <f t="shared" si="54"/>
        <v>4019.55</v>
      </c>
      <c r="F413" s="240"/>
      <c r="G413" s="240"/>
      <c r="H413" s="240"/>
      <c r="I413" s="240"/>
      <c r="J413" s="555">
        <v>4019.55</v>
      </c>
      <c r="K413" s="240"/>
      <c r="L413" s="852"/>
      <c r="M413" s="701"/>
      <c r="N413" s="241"/>
    </row>
    <row r="414" spans="1:14" ht="41.25" customHeight="1">
      <c r="A414" s="755"/>
      <c r="B414" s="246"/>
      <c r="C414" s="16" t="s">
        <v>85</v>
      </c>
      <c r="D414" s="369"/>
      <c r="E414" s="52">
        <f t="shared" si="54"/>
        <v>137</v>
      </c>
      <c r="F414" s="240"/>
      <c r="G414" s="240"/>
      <c r="H414" s="240"/>
      <c r="I414" s="240"/>
      <c r="J414" s="555">
        <v>137</v>
      </c>
      <c r="K414" s="240"/>
      <c r="L414" s="853"/>
      <c r="M414" s="701"/>
      <c r="N414" s="241"/>
    </row>
    <row r="415" spans="1:14" ht="24" customHeight="1" thickBot="1">
      <c r="A415" s="755"/>
      <c r="B415" s="415"/>
      <c r="C415" s="238"/>
      <c r="D415" s="369"/>
      <c r="E415" s="240"/>
      <c r="F415" s="240"/>
      <c r="G415" s="240"/>
      <c r="H415" s="240"/>
      <c r="I415" s="240"/>
      <c r="J415" s="555"/>
      <c r="K415" s="240"/>
      <c r="L415" s="381"/>
      <c r="M415" s="701"/>
      <c r="N415" s="241"/>
    </row>
    <row r="416" spans="1:14" ht="41.25" customHeight="1" thickBot="1">
      <c r="A416" s="755"/>
      <c r="B416" s="480" t="s">
        <v>115</v>
      </c>
      <c r="C416" s="481"/>
      <c r="D416" s="47">
        <v>2024</v>
      </c>
      <c r="E416" s="48">
        <f>G416+J416</f>
        <v>6837.68</v>
      </c>
      <c r="F416" s="48">
        <f>F417</f>
        <v>0</v>
      </c>
      <c r="G416" s="39">
        <f>H416+I416</f>
        <v>0</v>
      </c>
      <c r="H416" s="48">
        <f>H417</f>
        <v>0</v>
      </c>
      <c r="I416" s="48">
        <f>I417+I418+I419+I420+I421+I426+I427+I428+I429+I430+I431+I432+I433+I434+I435+I436+I437+I438+I439+I440+I441+I442+I443+I445</f>
        <v>0</v>
      </c>
      <c r="J416" s="550">
        <f>J417+J418+J419+J420</f>
        <v>6837.68</v>
      </c>
      <c r="K416" s="49">
        <f>K417</f>
        <v>0</v>
      </c>
      <c r="L416" s="477"/>
      <c r="M416" s="701"/>
      <c r="N416" s="241"/>
    </row>
    <row r="417" spans="1:14" ht="41.25" customHeight="1">
      <c r="A417" s="755"/>
      <c r="B417" s="377"/>
      <c r="C417" s="242" t="s">
        <v>79</v>
      </c>
      <c r="D417" s="369"/>
      <c r="E417" s="52">
        <f t="shared" si="54"/>
        <v>5000</v>
      </c>
      <c r="F417" s="240"/>
      <c r="G417" s="240"/>
      <c r="H417" s="240"/>
      <c r="I417" s="240"/>
      <c r="J417" s="555">
        <v>5000</v>
      </c>
      <c r="K417" s="240"/>
      <c r="L417" s="851" t="s">
        <v>51</v>
      </c>
      <c r="M417" s="701"/>
      <c r="N417" s="241"/>
    </row>
    <row r="418" spans="1:14" ht="41.25" customHeight="1">
      <c r="A418" s="755"/>
      <c r="B418" s="246"/>
      <c r="C418" s="16" t="s">
        <v>83</v>
      </c>
      <c r="D418" s="369"/>
      <c r="E418" s="52">
        <f t="shared" si="54"/>
        <v>800.68</v>
      </c>
      <c r="F418" s="240"/>
      <c r="G418" s="240"/>
      <c r="H418" s="240"/>
      <c r="I418" s="240"/>
      <c r="J418" s="555">
        <v>800.68</v>
      </c>
      <c r="K418" s="240"/>
      <c r="L418" s="852"/>
      <c r="M418" s="701"/>
      <c r="N418" s="241"/>
    </row>
    <row r="419" spans="1:14" ht="41.25" customHeight="1">
      <c r="A419" s="755"/>
      <c r="B419" s="246"/>
      <c r="C419" s="16" t="s">
        <v>84</v>
      </c>
      <c r="D419" s="369"/>
      <c r="E419" s="52">
        <f t="shared" si="54"/>
        <v>900</v>
      </c>
      <c r="F419" s="240"/>
      <c r="G419" s="240"/>
      <c r="H419" s="240"/>
      <c r="I419" s="240"/>
      <c r="J419" s="555">
        <v>900</v>
      </c>
      <c r="K419" s="240"/>
      <c r="L419" s="852"/>
      <c r="M419" s="701"/>
      <c r="N419" s="241"/>
    </row>
    <row r="420" spans="1:14" ht="41.25" customHeight="1">
      <c r="A420" s="755"/>
      <c r="B420" s="246"/>
      <c r="C420" s="16" t="s">
        <v>85</v>
      </c>
      <c r="D420" s="369"/>
      <c r="E420" s="52">
        <f t="shared" si="54"/>
        <v>137</v>
      </c>
      <c r="F420" s="240"/>
      <c r="G420" s="240"/>
      <c r="H420" s="240"/>
      <c r="I420" s="240"/>
      <c r="J420" s="555">
        <v>137</v>
      </c>
      <c r="K420" s="240"/>
      <c r="L420" s="853"/>
      <c r="M420" s="701"/>
      <c r="N420" s="241"/>
    </row>
    <row r="421" spans="1:14" ht="27.75" customHeight="1" thickBot="1">
      <c r="A421" s="755"/>
      <c r="B421" s="415"/>
      <c r="C421" s="238"/>
      <c r="D421" s="369"/>
      <c r="E421" s="240"/>
      <c r="F421" s="240"/>
      <c r="G421" s="240"/>
      <c r="H421" s="240"/>
      <c r="I421" s="240"/>
      <c r="J421" s="555"/>
      <c r="K421" s="240"/>
      <c r="L421" s="381"/>
      <c r="M421" s="701"/>
      <c r="N421" s="241"/>
    </row>
    <row r="422" spans="1:14" ht="41.25" customHeight="1" thickBot="1">
      <c r="A422" s="755"/>
      <c r="B422" s="480" t="s">
        <v>115</v>
      </c>
      <c r="C422" s="481"/>
      <c r="D422" s="47">
        <v>2025</v>
      </c>
      <c r="E422" s="48">
        <f>G422+J422</f>
        <v>6948.45</v>
      </c>
      <c r="F422" s="48">
        <f>F423</f>
        <v>0</v>
      </c>
      <c r="G422" s="39">
        <f>H422+I422</f>
        <v>0</v>
      </c>
      <c r="H422" s="48">
        <f>H423</f>
        <v>0</v>
      </c>
      <c r="I422" s="48">
        <f>I423+I424+I425+I426+I427+I432+I433+I434+I435+I436+I437+I438+I439+I440+I441+I442+I443+I444+I445+I446+I447+I448+I449+I451</f>
        <v>0</v>
      </c>
      <c r="J422" s="550">
        <f>J423+J424+J425+J426</f>
        <v>6948.45</v>
      </c>
      <c r="K422" s="49">
        <f>K423</f>
        <v>0</v>
      </c>
      <c r="L422" s="477"/>
      <c r="M422" s="701"/>
      <c r="N422" s="241"/>
    </row>
    <row r="423" spans="1:14" ht="41.25" customHeight="1">
      <c r="A423" s="755"/>
      <c r="B423" s="377"/>
      <c r="C423" s="242" t="s">
        <v>79</v>
      </c>
      <c r="D423" s="369"/>
      <c r="E423" s="52">
        <f t="shared" si="54"/>
        <v>5000</v>
      </c>
      <c r="F423" s="240"/>
      <c r="G423" s="240"/>
      <c r="H423" s="240"/>
      <c r="I423" s="240"/>
      <c r="J423" s="555">
        <v>5000</v>
      </c>
      <c r="K423" s="240"/>
      <c r="L423" s="851" t="s">
        <v>51</v>
      </c>
      <c r="M423" s="701"/>
      <c r="N423" s="241"/>
    </row>
    <row r="424" spans="1:14" ht="41.25" customHeight="1">
      <c r="A424" s="755"/>
      <c r="B424" s="246"/>
      <c r="C424" s="16" t="s">
        <v>83</v>
      </c>
      <c r="D424" s="369"/>
      <c r="E424" s="52">
        <f t="shared" si="54"/>
        <v>911.45</v>
      </c>
      <c r="F424" s="240"/>
      <c r="G424" s="240"/>
      <c r="H424" s="240"/>
      <c r="I424" s="240"/>
      <c r="J424" s="555">
        <v>911.45</v>
      </c>
      <c r="K424" s="240"/>
      <c r="L424" s="852"/>
      <c r="M424" s="701"/>
      <c r="N424" s="241"/>
    </row>
    <row r="425" spans="1:14" ht="41.25" customHeight="1">
      <c r="A425" s="755"/>
      <c r="B425" s="246"/>
      <c r="C425" s="16" t="s">
        <v>84</v>
      </c>
      <c r="D425" s="369"/>
      <c r="E425" s="52">
        <f t="shared" si="54"/>
        <v>900</v>
      </c>
      <c r="F425" s="240"/>
      <c r="G425" s="240"/>
      <c r="H425" s="240"/>
      <c r="I425" s="240"/>
      <c r="J425" s="555">
        <v>900</v>
      </c>
      <c r="K425" s="240"/>
      <c r="L425" s="852"/>
      <c r="M425" s="701"/>
      <c r="N425" s="241"/>
    </row>
    <row r="426" spans="1:14" ht="41.25" customHeight="1">
      <c r="A426" s="755"/>
      <c r="B426" s="246"/>
      <c r="C426" s="16" t="s">
        <v>85</v>
      </c>
      <c r="D426" s="369"/>
      <c r="E426" s="52">
        <f t="shared" si="54"/>
        <v>137</v>
      </c>
      <c r="F426" s="240"/>
      <c r="G426" s="240"/>
      <c r="H426" s="240"/>
      <c r="I426" s="240"/>
      <c r="J426" s="555">
        <v>137</v>
      </c>
      <c r="K426" s="240"/>
      <c r="L426" s="853"/>
      <c r="M426" s="701"/>
      <c r="N426" s="241"/>
    </row>
    <row r="427" spans="1:14" ht="21.75" customHeight="1" hidden="1">
      <c r="A427" s="755"/>
      <c r="B427" s="246"/>
      <c r="C427" s="238"/>
      <c r="D427" s="369"/>
      <c r="E427" s="240"/>
      <c r="F427" s="240"/>
      <c r="G427" s="240"/>
      <c r="H427" s="240"/>
      <c r="I427" s="240"/>
      <c r="J427" s="555"/>
      <c r="K427" s="240"/>
      <c r="L427" s="381"/>
      <c r="M427" s="701"/>
      <c r="N427" s="241"/>
    </row>
    <row r="428" spans="1:14" ht="24.75" customHeight="1">
      <c r="A428" s="699"/>
      <c r="B428" s="742" t="s">
        <v>115</v>
      </c>
      <c r="C428" s="379"/>
      <c r="D428" s="251">
        <v>2020</v>
      </c>
      <c r="E428" s="53">
        <f t="shared" si="54"/>
        <v>0</v>
      </c>
      <c r="F428" s="52"/>
      <c r="G428" s="52">
        <f aca="true" t="shared" si="55" ref="G428:G437">H428+I428</f>
        <v>0</v>
      </c>
      <c r="H428" s="52"/>
      <c r="I428" s="53"/>
      <c r="J428" s="551">
        <v>0</v>
      </c>
      <c r="K428" s="52">
        <v>0</v>
      </c>
      <c r="L428" s="380" t="s">
        <v>120</v>
      </c>
      <c r="M428" s="701"/>
      <c r="N428" s="241"/>
    </row>
    <row r="429" spans="1:14" ht="24.75" customHeight="1">
      <c r="A429" s="699"/>
      <c r="B429" s="743"/>
      <c r="C429" s="239"/>
      <c r="D429" s="155">
        <v>2021</v>
      </c>
      <c r="E429" s="39">
        <f t="shared" si="54"/>
        <v>0</v>
      </c>
      <c r="F429" s="42"/>
      <c r="G429" s="42">
        <f t="shared" si="55"/>
        <v>0</v>
      </c>
      <c r="H429" s="42"/>
      <c r="I429" s="39"/>
      <c r="J429" s="538">
        <v>0</v>
      </c>
      <c r="K429" s="42">
        <v>0</v>
      </c>
      <c r="L429" s="303" t="s">
        <v>120</v>
      </c>
      <c r="M429" s="701"/>
      <c r="N429" s="241"/>
    </row>
    <row r="430" spans="1:14" ht="24.75" customHeight="1">
      <c r="A430" s="699"/>
      <c r="B430" s="743"/>
      <c r="C430" s="239"/>
      <c r="D430" s="155">
        <v>2022</v>
      </c>
      <c r="E430" s="39">
        <f t="shared" si="54"/>
        <v>0</v>
      </c>
      <c r="F430" s="42"/>
      <c r="G430" s="42">
        <f t="shared" si="55"/>
        <v>0</v>
      </c>
      <c r="H430" s="42"/>
      <c r="I430" s="39"/>
      <c r="J430" s="538">
        <v>0</v>
      </c>
      <c r="K430" s="42">
        <v>0</v>
      </c>
      <c r="L430" s="303" t="s">
        <v>120</v>
      </c>
      <c r="M430" s="701"/>
      <c r="N430" s="241"/>
    </row>
    <row r="431" spans="1:14" ht="42" customHeight="1">
      <c r="A431" s="699" t="s">
        <v>169</v>
      </c>
      <c r="B431" s="744"/>
      <c r="C431" s="16" t="s">
        <v>84</v>
      </c>
      <c r="D431" s="653">
        <v>2017</v>
      </c>
      <c r="E431" s="39">
        <f t="shared" si="54"/>
        <v>6400.301</v>
      </c>
      <c r="F431" s="42"/>
      <c r="G431" s="42">
        <f t="shared" si="55"/>
        <v>0</v>
      </c>
      <c r="H431" s="42"/>
      <c r="I431" s="39"/>
      <c r="J431" s="538">
        <v>6400.301</v>
      </c>
      <c r="K431" s="42">
        <v>0</v>
      </c>
      <c r="L431" s="303" t="s">
        <v>120</v>
      </c>
      <c r="M431" s="701"/>
      <c r="N431" s="241"/>
    </row>
    <row r="432" spans="1:14" ht="42" customHeight="1">
      <c r="A432" s="699"/>
      <c r="B432" s="734" t="s">
        <v>170</v>
      </c>
      <c r="C432" s="16" t="s">
        <v>85</v>
      </c>
      <c r="D432" s="653"/>
      <c r="E432" s="39">
        <f t="shared" si="54"/>
        <v>1458.533</v>
      </c>
      <c r="F432" s="42"/>
      <c r="G432" s="42">
        <f t="shared" si="55"/>
        <v>0</v>
      </c>
      <c r="H432" s="42"/>
      <c r="I432" s="39"/>
      <c r="J432" s="538">
        <v>1458.533</v>
      </c>
      <c r="K432" s="42">
        <v>0</v>
      </c>
      <c r="L432" s="303" t="s">
        <v>51</v>
      </c>
      <c r="M432" s="701"/>
      <c r="N432" s="241"/>
    </row>
    <row r="433" spans="1:14" ht="38.25" customHeight="1">
      <c r="A433" s="699" t="s">
        <v>171</v>
      </c>
      <c r="B433" s="734"/>
      <c r="C433" s="242" t="s">
        <v>77</v>
      </c>
      <c r="D433" s="704">
        <v>2017</v>
      </c>
      <c r="E433" s="39">
        <f t="shared" si="54"/>
        <v>2177.928</v>
      </c>
      <c r="F433" s="42"/>
      <c r="G433" s="156">
        <f t="shared" si="55"/>
        <v>0</v>
      </c>
      <c r="H433" s="156"/>
      <c r="I433" s="157"/>
      <c r="J433" s="556">
        <v>2177.928</v>
      </c>
      <c r="K433" s="156">
        <v>0</v>
      </c>
      <c r="L433" s="303" t="s">
        <v>120</v>
      </c>
      <c r="M433" s="701"/>
      <c r="N433" s="241"/>
    </row>
    <row r="434" spans="1:14" ht="27.75" customHeight="1">
      <c r="A434" s="699"/>
      <c r="B434" s="734" t="s">
        <v>172</v>
      </c>
      <c r="C434" s="242" t="s">
        <v>79</v>
      </c>
      <c r="D434" s="704"/>
      <c r="E434" s="39">
        <f t="shared" si="54"/>
        <v>431.162</v>
      </c>
      <c r="F434" s="42"/>
      <c r="G434" s="156">
        <f t="shared" si="55"/>
        <v>0</v>
      </c>
      <c r="H434" s="156"/>
      <c r="I434" s="157"/>
      <c r="J434" s="556">
        <v>431.162</v>
      </c>
      <c r="K434" s="156">
        <v>0</v>
      </c>
      <c r="L434" s="303" t="s">
        <v>51</v>
      </c>
      <c r="M434" s="701"/>
      <c r="N434" s="241"/>
    </row>
    <row r="435" spans="1:14" ht="24.75" customHeight="1">
      <c r="A435" s="699" t="s">
        <v>173</v>
      </c>
      <c r="B435" s="734"/>
      <c r="C435" s="38"/>
      <c r="D435" s="735">
        <v>2017</v>
      </c>
      <c r="E435" s="39">
        <f t="shared" si="54"/>
        <v>4135.29</v>
      </c>
      <c r="F435" s="42"/>
      <c r="G435" s="156">
        <f t="shared" si="55"/>
        <v>0</v>
      </c>
      <c r="H435" s="156"/>
      <c r="I435" s="157"/>
      <c r="J435" s="556">
        <v>4135.29</v>
      </c>
      <c r="K435" s="156">
        <v>0</v>
      </c>
      <c r="L435" s="736" t="s">
        <v>120</v>
      </c>
      <c r="M435" s="701"/>
      <c r="N435" s="241"/>
    </row>
    <row r="436" spans="1:14" ht="24.75" customHeight="1">
      <c r="A436" s="699"/>
      <c r="B436" s="734" t="s">
        <v>174</v>
      </c>
      <c r="C436" s="38" t="s">
        <v>116</v>
      </c>
      <c r="D436" s="735"/>
      <c r="E436" s="39">
        <f t="shared" si="54"/>
        <v>10933.428</v>
      </c>
      <c r="F436" s="42"/>
      <c r="G436" s="156">
        <f t="shared" si="55"/>
        <v>0</v>
      </c>
      <c r="H436" s="156"/>
      <c r="I436" s="157"/>
      <c r="J436" s="556">
        <v>10933.428</v>
      </c>
      <c r="K436" s="156">
        <v>0</v>
      </c>
      <c r="L436" s="736"/>
      <c r="M436" s="701"/>
      <c r="N436" s="241"/>
    </row>
    <row r="437" spans="1:14" ht="31.5" customHeight="1" thickBot="1">
      <c r="A437" s="699"/>
      <c r="B437" s="734"/>
      <c r="C437" s="38" t="s">
        <v>116</v>
      </c>
      <c r="D437" s="735"/>
      <c r="E437" s="44">
        <f t="shared" si="54"/>
        <v>897.642</v>
      </c>
      <c r="F437" s="43"/>
      <c r="G437" s="159">
        <f t="shared" si="55"/>
        <v>0</v>
      </c>
      <c r="H437" s="159"/>
      <c r="I437" s="160"/>
      <c r="J437" s="557">
        <v>897.642</v>
      </c>
      <c r="K437" s="159">
        <v>0</v>
      </c>
      <c r="L437" s="303" t="s">
        <v>51</v>
      </c>
      <c r="M437" s="701"/>
      <c r="N437" s="241"/>
    </row>
    <row r="438" spans="1:14" ht="24.75" customHeight="1" thickBot="1">
      <c r="A438" s="737" t="s">
        <v>175</v>
      </c>
      <c r="B438" s="734"/>
      <c r="C438" s="161"/>
      <c r="D438" s="23">
        <v>2018</v>
      </c>
      <c r="E438" s="48">
        <f>F438+J438+K438</f>
        <v>1130.874</v>
      </c>
      <c r="F438" s="162">
        <f aca="true" t="shared" si="56" ref="F438:K438">SUM(F439:F445)</f>
        <v>0</v>
      </c>
      <c r="G438" s="162">
        <f t="shared" si="56"/>
        <v>0</v>
      </c>
      <c r="H438" s="162">
        <f t="shared" si="56"/>
        <v>0</v>
      </c>
      <c r="I438" s="162">
        <f t="shared" si="56"/>
        <v>0</v>
      </c>
      <c r="J438" s="558">
        <f t="shared" si="56"/>
        <v>1130.874</v>
      </c>
      <c r="K438" s="163">
        <f t="shared" si="56"/>
        <v>0</v>
      </c>
      <c r="L438" s="305"/>
      <c r="M438" s="651" t="s">
        <v>176</v>
      </c>
      <c r="N438" s="295"/>
    </row>
    <row r="439" spans="1:14" ht="24.75" customHeight="1">
      <c r="A439" s="737"/>
      <c r="B439" s="730" t="s">
        <v>177</v>
      </c>
      <c r="C439" s="165"/>
      <c r="D439" s="166"/>
      <c r="E439" s="52">
        <f aca="true" t="shared" si="57" ref="E439:E445">F439+G439+J439+K439</f>
        <v>0</v>
      </c>
      <c r="F439" s="167"/>
      <c r="G439" s="168">
        <f aca="true" t="shared" si="58" ref="G439:G445">H439+I439</f>
        <v>0</v>
      </c>
      <c r="H439" s="169"/>
      <c r="I439" s="168">
        <v>0</v>
      </c>
      <c r="J439" s="559">
        <v>0</v>
      </c>
      <c r="K439" s="169"/>
      <c r="L439" s="306"/>
      <c r="M439" s="651"/>
      <c r="N439" s="295"/>
    </row>
    <row r="440" spans="1:14" ht="42" customHeight="1">
      <c r="A440" s="737"/>
      <c r="B440" s="730"/>
      <c r="C440" s="106" t="s">
        <v>232</v>
      </c>
      <c r="D440" s="6"/>
      <c r="E440" s="42">
        <f t="shared" si="57"/>
        <v>32.401</v>
      </c>
      <c r="F440" s="170"/>
      <c r="G440" s="156">
        <f t="shared" si="58"/>
        <v>0</v>
      </c>
      <c r="H440" s="156"/>
      <c r="I440" s="157"/>
      <c r="J440" s="538">
        <f>24+9.98-1.579</f>
        <v>32.401</v>
      </c>
      <c r="K440" s="156"/>
      <c r="L440" s="244" t="s">
        <v>83</v>
      </c>
      <c r="M440" s="651"/>
      <c r="N440" s="295"/>
    </row>
    <row r="441" spans="1:14" ht="37.5" customHeight="1">
      <c r="A441" s="737"/>
      <c r="B441" s="730"/>
      <c r="C441" s="106" t="s">
        <v>233</v>
      </c>
      <c r="D441" s="6"/>
      <c r="E441" s="42">
        <f t="shared" si="57"/>
        <v>202.33000000000004</v>
      </c>
      <c r="F441" s="170"/>
      <c r="G441" s="156">
        <f t="shared" si="58"/>
        <v>0</v>
      </c>
      <c r="H441" s="156"/>
      <c r="I441" s="157"/>
      <c r="J441" s="538">
        <f>304.8-99.63174-2.83826</f>
        <v>202.33000000000004</v>
      </c>
      <c r="K441" s="156"/>
      <c r="L441" s="244" t="s">
        <v>84</v>
      </c>
      <c r="M441" s="651"/>
      <c r="N441" s="295"/>
    </row>
    <row r="442" spans="1:14" ht="37.5" customHeight="1">
      <c r="A442" s="737"/>
      <c r="B442" s="730"/>
      <c r="C442" s="106" t="s">
        <v>234</v>
      </c>
      <c r="D442" s="6"/>
      <c r="E442" s="42">
        <f t="shared" si="57"/>
        <v>193.929</v>
      </c>
      <c r="F442" s="170"/>
      <c r="G442" s="156">
        <f t="shared" si="58"/>
        <v>0</v>
      </c>
      <c r="H442" s="156"/>
      <c r="I442" s="157"/>
      <c r="J442" s="556">
        <f>138.5+55.429</f>
        <v>193.929</v>
      </c>
      <c r="K442" s="156"/>
      <c r="L442" s="304" t="s">
        <v>234</v>
      </c>
      <c r="M442" s="651"/>
      <c r="N442" s="295"/>
    </row>
    <row r="443" spans="1:14" ht="24.75" customHeight="1">
      <c r="A443" s="737"/>
      <c r="B443" s="730"/>
      <c r="C443" s="165"/>
      <c r="D443" s="6"/>
      <c r="E443" s="42">
        <f t="shared" si="57"/>
        <v>522.2139999999999</v>
      </c>
      <c r="F443" s="170"/>
      <c r="G443" s="156">
        <f t="shared" si="58"/>
        <v>0</v>
      </c>
      <c r="H443" s="156"/>
      <c r="I443" s="157"/>
      <c r="J443" s="556">
        <f>874-134.152-30-249.634+62</f>
        <v>522.2139999999999</v>
      </c>
      <c r="K443" s="156"/>
      <c r="L443" s="280" t="s">
        <v>77</v>
      </c>
      <c r="M443" s="651"/>
      <c r="N443" s="295"/>
    </row>
    <row r="444" spans="1:14" ht="24.75" customHeight="1">
      <c r="A444" s="737"/>
      <c r="B444" s="730"/>
      <c r="C444" s="165"/>
      <c r="D444" s="6"/>
      <c r="E444" s="42">
        <f t="shared" si="57"/>
        <v>40</v>
      </c>
      <c r="F444" s="170"/>
      <c r="G444" s="156">
        <f t="shared" si="58"/>
        <v>0</v>
      </c>
      <c r="H444" s="156"/>
      <c r="I444" s="157"/>
      <c r="J444" s="556">
        <f>100-60</f>
        <v>40</v>
      </c>
      <c r="K444" s="156"/>
      <c r="L444" s="280" t="s">
        <v>79</v>
      </c>
      <c r="M444" s="651"/>
      <c r="N444" s="295"/>
    </row>
    <row r="445" spans="1:14" ht="24.75" customHeight="1" thickBot="1">
      <c r="A445" s="737"/>
      <c r="B445" s="730"/>
      <c r="C445" s="171"/>
      <c r="D445" s="158"/>
      <c r="E445" s="43">
        <f t="shared" si="57"/>
        <v>140</v>
      </c>
      <c r="F445" s="172"/>
      <c r="G445" s="159">
        <f t="shared" si="58"/>
        <v>0</v>
      </c>
      <c r="H445" s="159"/>
      <c r="I445" s="160"/>
      <c r="J445" s="557">
        <f>165-25</f>
        <v>140</v>
      </c>
      <c r="K445" s="159"/>
      <c r="L445" s="274" t="s">
        <v>300</v>
      </c>
      <c r="M445" s="651"/>
      <c r="N445" s="295"/>
    </row>
    <row r="446" spans="1:14" ht="26.25" customHeight="1" thickBot="1">
      <c r="A446" s="737"/>
      <c r="B446" s="730"/>
      <c r="C446" s="46"/>
      <c r="D446" s="23">
        <v>2019</v>
      </c>
      <c r="E446" s="162">
        <f aca="true" t="shared" si="59" ref="E446:K446">SUM(E447:E448)</f>
        <v>195.01735000000002</v>
      </c>
      <c r="F446" s="162">
        <f t="shared" si="59"/>
        <v>0</v>
      </c>
      <c r="G446" s="162">
        <f t="shared" si="59"/>
        <v>0</v>
      </c>
      <c r="H446" s="162">
        <f t="shared" si="59"/>
        <v>0</v>
      </c>
      <c r="I446" s="162">
        <f t="shared" si="59"/>
        <v>0</v>
      </c>
      <c r="J446" s="558">
        <f t="shared" si="59"/>
        <v>195.01735000000002</v>
      </c>
      <c r="K446" s="163">
        <f t="shared" si="59"/>
        <v>0</v>
      </c>
      <c r="L446" s="307"/>
      <c r="M446" s="701"/>
      <c r="N446" s="241"/>
    </row>
    <row r="447" spans="1:14" ht="33" customHeight="1">
      <c r="A447" s="737"/>
      <c r="B447" s="730"/>
      <c r="C447" s="16" t="s">
        <v>85</v>
      </c>
      <c r="D447" s="166">
        <v>2019</v>
      </c>
      <c r="E447" s="168">
        <f>F447+G447+J447</f>
        <v>126.36635000000001</v>
      </c>
      <c r="F447" s="168"/>
      <c r="G447" s="168">
        <f>H447+I447</f>
        <v>0</v>
      </c>
      <c r="H447" s="168"/>
      <c r="I447" s="168"/>
      <c r="J447" s="559">
        <f>400-273.63365</f>
        <v>126.36635000000001</v>
      </c>
      <c r="K447" s="169"/>
      <c r="L447" s="244" t="s">
        <v>85</v>
      </c>
      <c r="M447" s="701"/>
      <c r="N447" s="241"/>
    </row>
    <row r="448" spans="1:14" ht="33" customHeight="1" thickBot="1">
      <c r="A448" s="737"/>
      <c r="B448" s="730"/>
      <c r="C448" s="242" t="s">
        <v>77</v>
      </c>
      <c r="D448" s="173">
        <v>2019</v>
      </c>
      <c r="E448" s="159">
        <f>F448+G448+J448</f>
        <v>68.651</v>
      </c>
      <c r="F448" s="159"/>
      <c r="G448" s="159">
        <f>H448+I448</f>
        <v>0</v>
      </c>
      <c r="H448" s="159"/>
      <c r="I448" s="159"/>
      <c r="J448" s="557">
        <v>68.651</v>
      </c>
      <c r="K448" s="160"/>
      <c r="L448" s="280" t="s">
        <v>77</v>
      </c>
      <c r="M448" s="701"/>
      <c r="N448" s="241"/>
    </row>
    <row r="449" spans="1:14" ht="24.75" customHeight="1" thickBot="1">
      <c r="A449" s="737"/>
      <c r="B449" s="730"/>
      <c r="C449" s="151"/>
      <c r="D449" s="174">
        <v>2020</v>
      </c>
      <c r="E449" s="48">
        <f>F449+G449+J449+K449</f>
        <v>303.52299999999997</v>
      </c>
      <c r="F449" s="48">
        <v>0</v>
      </c>
      <c r="G449" s="48">
        <v>0</v>
      </c>
      <c r="H449" s="48">
        <v>0</v>
      </c>
      <c r="I449" s="48">
        <v>0</v>
      </c>
      <c r="J449" s="550">
        <f>SUM(J450:J452)</f>
        <v>303.52299999999997</v>
      </c>
      <c r="K449" s="49">
        <v>0</v>
      </c>
      <c r="L449" s="308"/>
      <c r="M449" s="701"/>
      <c r="N449" s="241"/>
    </row>
    <row r="450" spans="1:14" ht="24.75" customHeight="1">
      <c r="A450" s="737"/>
      <c r="B450" s="730"/>
      <c r="C450" s="242" t="s">
        <v>77</v>
      </c>
      <c r="D450" s="98"/>
      <c r="E450" s="175">
        <f>F450+G450+J450+K450</f>
        <v>0</v>
      </c>
      <c r="F450" s="52"/>
      <c r="G450" s="52">
        <f>H450+I450</f>
        <v>0</v>
      </c>
      <c r="H450" s="52"/>
      <c r="I450" s="53"/>
      <c r="J450" s="551">
        <f>67.144-67.144</f>
        <v>0</v>
      </c>
      <c r="K450" s="52"/>
      <c r="L450" s="309" t="s">
        <v>120</v>
      </c>
      <c r="M450" s="701"/>
      <c r="N450" s="241"/>
    </row>
    <row r="451" spans="1:14" ht="24.75" customHeight="1">
      <c r="A451" s="737"/>
      <c r="B451" s="730"/>
      <c r="C451" s="16" t="s">
        <v>84</v>
      </c>
      <c r="D451" s="98"/>
      <c r="E451" s="52">
        <f>F451+G451+J451+K451</f>
        <v>248.093</v>
      </c>
      <c r="F451" s="52"/>
      <c r="G451" s="52">
        <f>H451+I451</f>
        <v>0</v>
      </c>
      <c r="H451" s="52"/>
      <c r="I451" s="53"/>
      <c r="J451" s="551">
        <f>250-1.907</f>
        <v>248.093</v>
      </c>
      <c r="K451" s="52"/>
      <c r="L451" s="244" t="s">
        <v>84</v>
      </c>
      <c r="M451" s="701"/>
      <c r="N451" s="241"/>
    </row>
    <row r="452" spans="1:14" ht="24.75" customHeight="1" thickBot="1">
      <c r="A452" s="737"/>
      <c r="B452" s="730"/>
      <c r="C452" s="16" t="s">
        <v>85</v>
      </c>
      <c r="D452" s="158"/>
      <c r="E452" s="153">
        <f>F452+G452+J452+K452</f>
        <v>55.43</v>
      </c>
      <c r="F452" s="43"/>
      <c r="G452" s="153">
        <f>H452+I452</f>
        <v>0</v>
      </c>
      <c r="H452" s="43"/>
      <c r="I452" s="44"/>
      <c r="J452" s="552">
        <v>55.43</v>
      </c>
      <c r="K452" s="43"/>
      <c r="L452" s="244" t="s">
        <v>85</v>
      </c>
      <c r="M452" s="701"/>
      <c r="N452" s="241"/>
    </row>
    <row r="453" spans="1:14" ht="24.75" customHeight="1" thickBot="1">
      <c r="A453" s="737"/>
      <c r="B453" s="730"/>
      <c r="C453" s="176"/>
      <c r="D453" s="174">
        <v>2021</v>
      </c>
      <c r="E453" s="48">
        <f>F453+J453+K453</f>
        <v>469.15500000000003</v>
      </c>
      <c r="F453" s="48">
        <v>0</v>
      </c>
      <c r="G453" s="48">
        <f>H453+I453</f>
        <v>0</v>
      </c>
      <c r="H453" s="48">
        <v>0</v>
      </c>
      <c r="I453" s="48">
        <v>0</v>
      </c>
      <c r="J453" s="550">
        <f>SUM(J454:J461)</f>
        <v>469.15500000000003</v>
      </c>
      <c r="K453" s="48">
        <v>0</v>
      </c>
      <c r="L453" s="310"/>
      <c r="M453" s="701"/>
      <c r="N453" s="241"/>
    </row>
    <row r="454" spans="1:14" ht="49.5" customHeight="1" thickBot="1">
      <c r="A454" s="737"/>
      <c r="B454" s="337" t="s">
        <v>178</v>
      </c>
      <c r="C454" s="731" t="s">
        <v>83</v>
      </c>
      <c r="D454" s="72"/>
      <c r="E454" s="177">
        <f aca="true" t="shared" si="60" ref="E454:E462">F454+G454+J454+K454</f>
        <v>101.43</v>
      </c>
      <c r="F454" s="177"/>
      <c r="G454" s="177">
        <v>0</v>
      </c>
      <c r="H454" s="177"/>
      <c r="I454" s="177"/>
      <c r="J454" s="552">
        <f>80+3.43+18</f>
        <v>101.43</v>
      </c>
      <c r="K454" s="177"/>
      <c r="L454" s="721" t="s">
        <v>83</v>
      </c>
      <c r="M454" s="701"/>
      <c r="N454" s="241"/>
    </row>
    <row r="455" spans="1:14" ht="18.75" customHeight="1" thickBot="1">
      <c r="A455" s="737"/>
      <c r="B455" s="337" t="s">
        <v>179</v>
      </c>
      <c r="C455" s="731"/>
      <c r="D455" s="72"/>
      <c r="E455" s="177">
        <f t="shared" si="60"/>
        <v>156.54899999999998</v>
      </c>
      <c r="F455" s="177"/>
      <c r="G455" s="177">
        <v>0</v>
      </c>
      <c r="H455" s="177"/>
      <c r="I455" s="178"/>
      <c r="J455" s="560">
        <f>169.081-12.532</f>
        <v>156.54899999999998</v>
      </c>
      <c r="K455" s="179"/>
      <c r="L455" s="721"/>
      <c r="M455" s="701"/>
      <c r="N455" s="241"/>
    </row>
    <row r="456" spans="1:14" ht="18.75" customHeight="1" thickBot="1">
      <c r="A456" s="737"/>
      <c r="B456" s="161" t="s">
        <v>180</v>
      </c>
      <c r="C456" s="731"/>
      <c r="D456" s="72"/>
      <c r="E456" s="177">
        <f t="shared" si="60"/>
        <v>52</v>
      </c>
      <c r="F456" s="177"/>
      <c r="G456" s="177">
        <v>0</v>
      </c>
      <c r="H456" s="177"/>
      <c r="I456" s="177"/>
      <c r="J456" s="550">
        <f>70-18</f>
        <v>52</v>
      </c>
      <c r="K456" s="177"/>
      <c r="L456" s="721"/>
      <c r="M456" s="701"/>
      <c r="N456" s="241"/>
    </row>
    <row r="457" spans="1:14" ht="54" customHeight="1" thickBot="1">
      <c r="A457" s="737"/>
      <c r="B457" s="180" t="s">
        <v>181</v>
      </c>
      <c r="C457" s="732" t="s">
        <v>77</v>
      </c>
      <c r="D457" s="72"/>
      <c r="E457" s="177">
        <f t="shared" si="60"/>
        <v>57.0724</v>
      </c>
      <c r="F457" s="178"/>
      <c r="G457" s="181"/>
      <c r="H457" s="179"/>
      <c r="I457" s="177"/>
      <c r="J457" s="532">
        <v>57.0724</v>
      </c>
      <c r="K457" s="177"/>
      <c r="L457" s="733" t="s">
        <v>77</v>
      </c>
      <c r="M457" s="701"/>
      <c r="N457" s="241"/>
    </row>
    <row r="458" spans="1:14" ht="34.5" customHeight="1" thickBot="1">
      <c r="A458" s="737"/>
      <c r="B458" s="182" t="s">
        <v>182</v>
      </c>
      <c r="C458" s="732"/>
      <c r="D458" s="72"/>
      <c r="E458" s="177">
        <f t="shared" si="60"/>
        <v>50.0676</v>
      </c>
      <c r="F458" s="177"/>
      <c r="G458" s="177"/>
      <c r="H458" s="177"/>
      <c r="I458" s="177"/>
      <c r="J458" s="532">
        <v>50.0676</v>
      </c>
      <c r="K458" s="177"/>
      <c r="L458" s="733"/>
      <c r="M458" s="701"/>
      <c r="N458" s="241"/>
    </row>
    <row r="459" spans="1:14" ht="39" customHeight="1" thickBot="1">
      <c r="A459" s="737"/>
      <c r="B459" s="161" t="s">
        <v>183</v>
      </c>
      <c r="C459" s="29" t="s">
        <v>300</v>
      </c>
      <c r="D459" s="72"/>
      <c r="E459" s="177">
        <f t="shared" si="60"/>
        <v>52.036</v>
      </c>
      <c r="F459" s="177"/>
      <c r="G459" s="177"/>
      <c r="H459" s="177"/>
      <c r="I459" s="177"/>
      <c r="J459" s="550">
        <v>52.036</v>
      </c>
      <c r="K459" s="177"/>
      <c r="L459" s="274" t="s">
        <v>300</v>
      </c>
      <c r="M459" s="701"/>
      <c r="N459" s="241"/>
    </row>
    <row r="460" spans="1:14" ht="18.75" customHeight="1" thickBot="1">
      <c r="A460" s="737"/>
      <c r="B460" s="161"/>
      <c r="C460" s="183"/>
      <c r="D460" s="72"/>
      <c r="E460" s="177">
        <f t="shared" si="60"/>
        <v>0</v>
      </c>
      <c r="F460" s="177"/>
      <c r="G460" s="177"/>
      <c r="H460" s="177"/>
      <c r="I460" s="177"/>
      <c r="J460" s="550">
        <v>0</v>
      </c>
      <c r="K460" s="177"/>
      <c r="L460" s="311"/>
      <c r="M460" s="701"/>
      <c r="N460" s="241"/>
    </row>
    <row r="461" spans="1:14" ht="18.75" customHeight="1" hidden="1" thickBot="1">
      <c r="A461" s="737"/>
      <c r="B461" s="161"/>
      <c r="C461" s="183"/>
      <c r="D461" s="72"/>
      <c r="E461" s="177">
        <f t="shared" si="60"/>
        <v>0</v>
      </c>
      <c r="F461" s="177"/>
      <c r="G461" s="177"/>
      <c r="H461" s="177"/>
      <c r="I461" s="177"/>
      <c r="J461" s="550">
        <v>0</v>
      </c>
      <c r="K461" s="177"/>
      <c r="L461" s="311"/>
      <c r="M461" s="701"/>
      <c r="N461" s="241"/>
    </row>
    <row r="462" spans="1:14" ht="18.75" customHeight="1" hidden="1" thickBot="1">
      <c r="A462" s="737"/>
      <c r="B462" s="161"/>
      <c r="C462" s="183"/>
      <c r="D462" s="72"/>
      <c r="E462" s="177">
        <f t="shared" si="60"/>
        <v>0</v>
      </c>
      <c r="F462" s="177"/>
      <c r="G462" s="177"/>
      <c r="H462" s="177"/>
      <c r="I462" s="177"/>
      <c r="J462" s="550">
        <v>0</v>
      </c>
      <c r="K462" s="177"/>
      <c r="L462" s="311"/>
      <c r="M462" s="701"/>
      <c r="N462" s="241"/>
    </row>
    <row r="463" spans="1:14" ht="24.75" customHeight="1" thickBot="1">
      <c r="A463" s="737"/>
      <c r="B463" s="161"/>
      <c r="C463" s="46"/>
      <c r="D463" s="72">
        <v>2022</v>
      </c>
      <c r="E463" s="177">
        <f>F463+G463+K463</f>
        <v>0</v>
      </c>
      <c r="F463" s="177">
        <v>0</v>
      </c>
      <c r="G463" s="177">
        <f>H463+I463</f>
        <v>0</v>
      </c>
      <c r="H463" s="177">
        <v>0</v>
      </c>
      <c r="I463" s="177">
        <v>0</v>
      </c>
      <c r="J463" s="550">
        <v>0</v>
      </c>
      <c r="K463" s="177">
        <v>0</v>
      </c>
      <c r="L463" s="310"/>
      <c r="M463" s="701"/>
      <c r="N463" s="241"/>
    </row>
    <row r="464" spans="1:14" ht="28.5" customHeight="1" thickBot="1">
      <c r="A464" s="699" t="s">
        <v>184</v>
      </c>
      <c r="B464" s="161"/>
      <c r="C464" s="184"/>
      <c r="D464" s="128">
        <v>2019</v>
      </c>
      <c r="E464" s="185">
        <f aca="true" t="shared" si="61" ref="E464:K464">E469+E470+E471+E472+E473+E474+E475+E476</f>
        <v>498</v>
      </c>
      <c r="F464" s="185">
        <f t="shared" si="61"/>
        <v>0</v>
      </c>
      <c r="G464" s="185">
        <f t="shared" si="61"/>
        <v>473.00000000000006</v>
      </c>
      <c r="H464" s="185">
        <f t="shared" si="61"/>
        <v>0</v>
      </c>
      <c r="I464" s="185">
        <f t="shared" si="61"/>
        <v>473.00000000000006</v>
      </c>
      <c r="J464" s="561">
        <f t="shared" si="61"/>
        <v>25</v>
      </c>
      <c r="K464" s="186">
        <f t="shared" si="61"/>
        <v>0</v>
      </c>
      <c r="L464" s="312"/>
      <c r="M464" s="246"/>
      <c r="N464" s="241"/>
    </row>
    <row r="465" spans="1:14" ht="33" customHeight="1" thickBot="1">
      <c r="A465" s="699"/>
      <c r="B465" s="729" t="s">
        <v>185</v>
      </c>
      <c r="C465" s="50"/>
      <c r="D465" s="98">
        <v>2020</v>
      </c>
      <c r="E465" s="185">
        <v>0</v>
      </c>
      <c r="F465" s="185">
        <f>F470+F471+F472+F473+F474+F475+F476+F479</f>
        <v>0</v>
      </c>
      <c r="G465" s="185">
        <v>0</v>
      </c>
      <c r="H465" s="185">
        <f>H470+H471+H472+H473+H474+H475+H476+H479</f>
        <v>0</v>
      </c>
      <c r="I465" s="185">
        <v>0</v>
      </c>
      <c r="J465" s="561">
        <v>0</v>
      </c>
      <c r="K465" s="53">
        <v>0</v>
      </c>
      <c r="L465" s="306"/>
      <c r="M465" s="246"/>
      <c r="N465" s="241"/>
    </row>
    <row r="466" spans="1:14" ht="31.5" customHeight="1" thickBot="1">
      <c r="A466" s="699"/>
      <c r="B466" s="729"/>
      <c r="C466" s="38"/>
      <c r="D466" s="6">
        <v>2021</v>
      </c>
      <c r="E466" s="185">
        <f aca="true" t="shared" si="62" ref="E466:J466">E483</f>
        <v>0</v>
      </c>
      <c r="F466" s="185">
        <f t="shared" si="62"/>
        <v>0</v>
      </c>
      <c r="G466" s="185">
        <f t="shared" si="62"/>
        <v>0</v>
      </c>
      <c r="H466" s="185">
        <f t="shared" si="62"/>
        <v>0</v>
      </c>
      <c r="I466" s="185">
        <f t="shared" si="62"/>
        <v>0</v>
      </c>
      <c r="J466" s="561">
        <f t="shared" si="62"/>
        <v>0</v>
      </c>
      <c r="K466" s="39">
        <v>0</v>
      </c>
      <c r="L466" s="306"/>
      <c r="M466" s="246"/>
      <c r="N466" s="241"/>
    </row>
    <row r="467" spans="1:14" ht="25.5" customHeight="1" thickBot="1">
      <c r="A467" s="699"/>
      <c r="B467" s="729"/>
      <c r="C467" s="38"/>
      <c r="D467" s="6">
        <v>2022</v>
      </c>
      <c r="E467" s="185">
        <f>E477+E478</f>
        <v>47</v>
      </c>
      <c r="F467" s="185">
        <v>0</v>
      </c>
      <c r="G467" s="185">
        <v>0</v>
      </c>
      <c r="H467" s="185">
        <v>0</v>
      </c>
      <c r="I467" s="185">
        <v>0</v>
      </c>
      <c r="J467" s="561">
        <f>J477+J478</f>
        <v>47</v>
      </c>
      <c r="K467" s="185">
        <v>0</v>
      </c>
      <c r="L467" s="306"/>
      <c r="M467" s="246"/>
      <c r="N467" s="241"/>
    </row>
    <row r="468" spans="1:14" ht="25.5" customHeight="1" thickBot="1">
      <c r="A468" s="699"/>
      <c r="B468" s="729"/>
      <c r="C468" s="38"/>
      <c r="D468" s="6">
        <v>2023</v>
      </c>
      <c r="E468" s="185">
        <v>0</v>
      </c>
      <c r="F468" s="185">
        <v>0</v>
      </c>
      <c r="G468" s="185">
        <v>0</v>
      </c>
      <c r="H468" s="185">
        <v>0</v>
      </c>
      <c r="I468" s="185">
        <v>0</v>
      </c>
      <c r="J468" s="561">
        <v>0</v>
      </c>
      <c r="K468" s="39"/>
      <c r="L468" s="306"/>
      <c r="M468" s="246"/>
      <c r="N468" s="241"/>
    </row>
    <row r="469" spans="1:14" ht="43.5" customHeight="1">
      <c r="A469" s="699" t="s">
        <v>186</v>
      </c>
      <c r="B469" s="729"/>
      <c r="C469" s="242" t="s">
        <v>77</v>
      </c>
      <c r="D469" s="10">
        <v>2019</v>
      </c>
      <c r="E469" s="42">
        <f aca="true" t="shared" si="63" ref="E469:E478">F469+G469+J469+K469</f>
        <v>8.6</v>
      </c>
      <c r="F469" s="42"/>
      <c r="G469" s="42">
        <f aca="true" t="shared" si="64" ref="G469:G478">H469+I469</f>
        <v>0</v>
      </c>
      <c r="H469" s="42"/>
      <c r="I469" s="42">
        <v>0</v>
      </c>
      <c r="J469" s="538">
        <v>8.6</v>
      </c>
      <c r="K469" s="42">
        <v>0</v>
      </c>
      <c r="L469" s="280" t="s">
        <v>77</v>
      </c>
      <c r="M469" s="701"/>
      <c r="N469" s="241"/>
    </row>
    <row r="470" spans="1:14" ht="42.75" customHeight="1">
      <c r="A470" s="699"/>
      <c r="B470" s="154" t="s">
        <v>187</v>
      </c>
      <c r="C470" s="242" t="s">
        <v>79</v>
      </c>
      <c r="D470" s="10">
        <v>2019</v>
      </c>
      <c r="E470" s="42">
        <f t="shared" si="63"/>
        <v>15.4</v>
      </c>
      <c r="F470" s="42"/>
      <c r="G470" s="42">
        <f t="shared" si="64"/>
        <v>15.4</v>
      </c>
      <c r="H470" s="42"/>
      <c r="I470" s="42">
        <v>15.4</v>
      </c>
      <c r="J470" s="538">
        <v>0</v>
      </c>
      <c r="K470" s="42">
        <v>0</v>
      </c>
      <c r="L470" s="280" t="s">
        <v>79</v>
      </c>
      <c r="M470" s="701"/>
      <c r="N470" s="241"/>
    </row>
    <row r="471" spans="1:14" ht="66" customHeight="1">
      <c r="A471" s="20" t="s">
        <v>188</v>
      </c>
      <c r="B471" s="187" t="s">
        <v>189</v>
      </c>
      <c r="C471" s="242" t="s">
        <v>77</v>
      </c>
      <c r="D471" s="10">
        <v>2019</v>
      </c>
      <c r="E471" s="42">
        <f t="shared" si="63"/>
        <v>137.612</v>
      </c>
      <c r="F471" s="42"/>
      <c r="G471" s="42">
        <f t="shared" si="64"/>
        <v>137.612</v>
      </c>
      <c r="H471" s="42"/>
      <c r="I471" s="42">
        <v>137.612</v>
      </c>
      <c r="J471" s="538">
        <v>0</v>
      </c>
      <c r="K471" s="42">
        <v>0</v>
      </c>
      <c r="L471" s="280" t="s">
        <v>77</v>
      </c>
      <c r="M471" s="246" t="s">
        <v>190</v>
      </c>
      <c r="N471" s="241"/>
    </row>
    <row r="472" spans="1:14" ht="51" customHeight="1">
      <c r="A472" s="20" t="s">
        <v>191</v>
      </c>
      <c r="B472" s="188" t="s">
        <v>192</v>
      </c>
      <c r="C472" s="242" t="s">
        <v>77</v>
      </c>
      <c r="D472" s="10">
        <v>2019</v>
      </c>
      <c r="E472" s="42">
        <f t="shared" si="63"/>
        <v>131.693</v>
      </c>
      <c r="F472" s="42"/>
      <c r="G472" s="42">
        <f t="shared" si="64"/>
        <v>131.693</v>
      </c>
      <c r="H472" s="42"/>
      <c r="I472" s="42">
        <f>120.581+11.112</f>
        <v>131.693</v>
      </c>
      <c r="J472" s="538">
        <v>0</v>
      </c>
      <c r="K472" s="42">
        <v>0</v>
      </c>
      <c r="L472" s="280" t="s">
        <v>77</v>
      </c>
      <c r="M472" s="701" t="s">
        <v>193</v>
      </c>
      <c r="N472" s="241"/>
    </row>
    <row r="473" spans="1:14" ht="60.75" customHeight="1">
      <c r="A473" s="699" t="s">
        <v>194</v>
      </c>
      <c r="B473" s="188" t="s">
        <v>195</v>
      </c>
      <c r="C473" s="242" t="s">
        <v>77</v>
      </c>
      <c r="D473" s="10">
        <v>2019</v>
      </c>
      <c r="E473" s="42">
        <f t="shared" si="63"/>
        <v>44.018</v>
      </c>
      <c r="F473" s="42"/>
      <c r="G473" s="42">
        <f t="shared" si="64"/>
        <v>36.039</v>
      </c>
      <c r="H473" s="42"/>
      <c r="I473" s="42">
        <f>44.018-7.979</f>
        <v>36.039</v>
      </c>
      <c r="J473" s="538">
        <f>16.579-8.6</f>
        <v>7.979000000000001</v>
      </c>
      <c r="K473" s="42">
        <v>0</v>
      </c>
      <c r="L473" s="280" t="s">
        <v>77</v>
      </c>
      <c r="M473" s="701"/>
      <c r="N473" s="241"/>
    </row>
    <row r="474" spans="1:14" ht="66.75" customHeight="1">
      <c r="A474" s="699"/>
      <c r="B474" s="188" t="s">
        <v>196</v>
      </c>
      <c r="C474" s="242" t="s">
        <v>77</v>
      </c>
      <c r="D474" s="10">
        <v>2019</v>
      </c>
      <c r="E474" s="42">
        <f t="shared" si="63"/>
        <v>7.656000000000001</v>
      </c>
      <c r="F474" s="42"/>
      <c r="G474" s="42">
        <f t="shared" si="64"/>
        <v>7.656000000000001</v>
      </c>
      <c r="H474" s="42"/>
      <c r="I474" s="42">
        <f>18.768-11.112</f>
        <v>7.656000000000001</v>
      </c>
      <c r="J474" s="538"/>
      <c r="K474" s="42"/>
      <c r="L474" s="280" t="s">
        <v>77</v>
      </c>
      <c r="M474" s="246"/>
      <c r="N474" s="241"/>
    </row>
    <row r="475" spans="1:14" ht="57" customHeight="1">
      <c r="A475" s="699"/>
      <c r="B475" s="623" t="s">
        <v>197</v>
      </c>
      <c r="C475" s="242" t="s">
        <v>79</v>
      </c>
      <c r="D475" s="10">
        <v>2019</v>
      </c>
      <c r="E475" s="42">
        <f t="shared" si="63"/>
        <v>10.74</v>
      </c>
      <c r="F475" s="42"/>
      <c r="G475" s="42">
        <f t="shared" si="64"/>
        <v>10.74</v>
      </c>
      <c r="H475" s="42"/>
      <c r="I475" s="42">
        <v>10.74</v>
      </c>
      <c r="J475" s="538">
        <v>0</v>
      </c>
      <c r="K475" s="42">
        <v>0</v>
      </c>
      <c r="L475" s="280" t="s">
        <v>79</v>
      </c>
      <c r="M475" s="246" t="s">
        <v>198</v>
      </c>
      <c r="N475" s="241"/>
    </row>
    <row r="476" spans="1:14" ht="60.75" customHeight="1">
      <c r="A476" s="20" t="s">
        <v>199</v>
      </c>
      <c r="B476" s="150" t="s">
        <v>200</v>
      </c>
      <c r="C476" s="242" t="s">
        <v>79</v>
      </c>
      <c r="D476" s="10">
        <v>2019</v>
      </c>
      <c r="E476" s="42">
        <f t="shared" si="63"/>
        <v>142.281</v>
      </c>
      <c r="F476" s="42"/>
      <c r="G476" s="42">
        <f t="shared" si="64"/>
        <v>133.86</v>
      </c>
      <c r="H476" s="42"/>
      <c r="I476" s="42">
        <v>133.86</v>
      </c>
      <c r="J476" s="538">
        <v>8.421</v>
      </c>
      <c r="K476" s="42">
        <v>0</v>
      </c>
      <c r="L476" s="280" t="s">
        <v>79</v>
      </c>
      <c r="M476" s="246" t="s">
        <v>201</v>
      </c>
      <c r="N476" s="241"/>
    </row>
    <row r="477" spans="1:14" ht="45.75" customHeight="1">
      <c r="A477" s="20" t="s">
        <v>346</v>
      </c>
      <c r="B477" s="877" t="s">
        <v>347</v>
      </c>
      <c r="C477" s="242" t="s">
        <v>77</v>
      </c>
      <c r="D477" s="14">
        <v>2022</v>
      </c>
      <c r="E477" s="42">
        <f t="shared" si="63"/>
        <v>36</v>
      </c>
      <c r="F477" s="42"/>
      <c r="G477" s="42">
        <f t="shared" si="64"/>
        <v>0</v>
      </c>
      <c r="H477" s="42"/>
      <c r="I477" s="42"/>
      <c r="J477" s="538">
        <v>36</v>
      </c>
      <c r="K477" s="42">
        <v>0</v>
      </c>
      <c r="L477" s="242" t="s">
        <v>77</v>
      </c>
      <c r="M477" s="246"/>
      <c r="N477" s="241"/>
    </row>
    <row r="478" spans="1:14" ht="48" customHeight="1">
      <c r="A478" s="20"/>
      <c r="B478" s="878"/>
      <c r="C478" s="242" t="s">
        <v>79</v>
      </c>
      <c r="D478" s="14">
        <v>2022</v>
      </c>
      <c r="E478" s="42">
        <f t="shared" si="63"/>
        <v>11</v>
      </c>
      <c r="F478" s="42"/>
      <c r="G478" s="42">
        <f t="shared" si="64"/>
        <v>0</v>
      </c>
      <c r="H478" s="42"/>
      <c r="I478" s="42"/>
      <c r="J478" s="538">
        <v>11</v>
      </c>
      <c r="K478" s="42">
        <v>0</v>
      </c>
      <c r="L478" s="242" t="s">
        <v>79</v>
      </c>
      <c r="M478" s="246"/>
      <c r="N478" s="241"/>
    </row>
    <row r="479" spans="1:14" s="55" customFormat="1" ht="45.75" customHeight="1">
      <c r="A479" s="107" t="s">
        <v>202</v>
      </c>
      <c r="B479" s="150" t="s">
        <v>203</v>
      </c>
      <c r="C479" s="616"/>
      <c r="D479" s="4">
        <v>2019</v>
      </c>
      <c r="E479" s="39">
        <f aca="true" t="shared" si="65" ref="E479:K479">E480+E481</f>
        <v>1013.9999999999999</v>
      </c>
      <c r="F479" s="39">
        <f t="shared" si="65"/>
        <v>0</v>
      </c>
      <c r="G479" s="39">
        <f t="shared" si="65"/>
        <v>963</v>
      </c>
      <c r="H479" s="39">
        <f t="shared" si="65"/>
        <v>0</v>
      </c>
      <c r="I479" s="39">
        <f t="shared" si="65"/>
        <v>963</v>
      </c>
      <c r="J479" s="538">
        <f t="shared" si="65"/>
        <v>51</v>
      </c>
      <c r="K479" s="39">
        <f t="shared" si="65"/>
        <v>0</v>
      </c>
      <c r="L479" s="306"/>
      <c r="M479" s="327"/>
      <c r="N479" s="322"/>
    </row>
    <row r="480" spans="1:14" ht="54" customHeight="1">
      <c r="A480" s="20" t="s">
        <v>204</v>
      </c>
      <c r="B480" s="96" t="s">
        <v>205</v>
      </c>
      <c r="C480" s="40"/>
      <c r="D480" s="142">
        <v>2019</v>
      </c>
      <c r="E480" s="13">
        <f>F480+G480+J480+K480</f>
        <v>800.0321799999999</v>
      </c>
      <c r="F480" s="189"/>
      <c r="G480" s="13">
        <f>H480+I480</f>
        <v>760.03</v>
      </c>
      <c r="H480" s="190"/>
      <c r="I480" s="191">
        <f>765.502-5.472</f>
        <v>760.03</v>
      </c>
      <c r="J480" s="536">
        <f>40.2898-0.28762</f>
        <v>40.00218</v>
      </c>
      <c r="K480" s="189"/>
      <c r="L480" s="303" t="s">
        <v>120</v>
      </c>
      <c r="M480" s="715" t="s">
        <v>206</v>
      </c>
      <c r="N480" s="323"/>
    </row>
    <row r="481" spans="1:14" ht="54.75" customHeight="1">
      <c r="A481" s="54" t="s">
        <v>207</v>
      </c>
      <c r="B481" s="40" t="s">
        <v>205</v>
      </c>
      <c r="C481" s="192"/>
      <c r="D481" s="142">
        <v>2019</v>
      </c>
      <c r="E481" s="31">
        <f>F481+G481+J481+K481</f>
        <v>213.96782</v>
      </c>
      <c r="F481" s="193"/>
      <c r="G481" s="31">
        <f>H481+I481</f>
        <v>202.97</v>
      </c>
      <c r="H481" s="194"/>
      <c r="I481" s="195">
        <f>197.498+5.472</f>
        <v>202.97</v>
      </c>
      <c r="J481" s="562">
        <f>10.7102+0.28762</f>
        <v>10.99782</v>
      </c>
      <c r="K481" s="193"/>
      <c r="L481" s="313" t="s">
        <v>313</v>
      </c>
      <c r="M481" s="715"/>
      <c r="N481" s="323"/>
    </row>
    <row r="482" spans="1:14" ht="44.25" customHeight="1">
      <c r="A482" s="716" t="s">
        <v>208</v>
      </c>
      <c r="B482" s="164" t="s">
        <v>205</v>
      </c>
      <c r="C482" s="76"/>
      <c r="D482" s="41">
        <v>2020</v>
      </c>
      <c r="E482" s="196">
        <f>E488+E489+E490+E517+E518+E519+E520</f>
        <v>0</v>
      </c>
      <c r="F482" s="196">
        <f aca="true" t="shared" si="66" ref="F482:K482">F488+F489+F490+++++F493+F517+F518+F519+F520</f>
        <v>0</v>
      </c>
      <c r="G482" s="196">
        <f t="shared" si="66"/>
        <v>0</v>
      </c>
      <c r="H482" s="196">
        <f t="shared" si="66"/>
        <v>0</v>
      </c>
      <c r="I482" s="196">
        <f t="shared" si="66"/>
        <v>0</v>
      </c>
      <c r="J482" s="562">
        <f>J488+J489+J490+J517+J518+J519+J520</f>
        <v>0</v>
      </c>
      <c r="K482" s="196">
        <f t="shared" si="66"/>
        <v>0</v>
      </c>
      <c r="L482" s="313"/>
      <c r="M482" s="239"/>
      <c r="N482" s="323"/>
    </row>
    <row r="483" spans="1:14" ht="39" customHeight="1">
      <c r="A483" s="716"/>
      <c r="B483" s="717" t="s">
        <v>209</v>
      </c>
      <c r="C483" s="482"/>
      <c r="D483" s="41">
        <v>2021</v>
      </c>
      <c r="E483" s="196">
        <f>E491</f>
        <v>0</v>
      </c>
      <c r="F483" s="196">
        <f aca="true" t="shared" si="67" ref="F483:K483">F491+F494+F495+F496+F497+F498</f>
        <v>0</v>
      </c>
      <c r="G483" s="196">
        <f t="shared" si="67"/>
        <v>0</v>
      </c>
      <c r="H483" s="196">
        <f t="shared" si="67"/>
        <v>0</v>
      </c>
      <c r="I483" s="196">
        <f t="shared" si="67"/>
        <v>0</v>
      </c>
      <c r="J483" s="562">
        <f>J491</f>
        <v>0</v>
      </c>
      <c r="K483" s="196">
        <f t="shared" si="67"/>
        <v>0</v>
      </c>
      <c r="L483" s="313"/>
      <c r="M483" s="239"/>
      <c r="N483" s="323"/>
    </row>
    <row r="484" spans="1:14" ht="34.5" customHeight="1">
      <c r="A484" s="716"/>
      <c r="B484" s="718"/>
      <c r="C484" s="298"/>
      <c r="D484" s="369">
        <v>2022</v>
      </c>
      <c r="E484" s="483">
        <f>E493+E494+E495+E496+E497+E498+E492</f>
        <v>3386.5563199999997</v>
      </c>
      <c r="F484" s="484">
        <v>0</v>
      </c>
      <c r="G484" s="484">
        <f>G493+G494+G495+G496+G497+G498</f>
        <v>0</v>
      </c>
      <c r="H484" s="484">
        <v>0</v>
      </c>
      <c r="I484" s="484">
        <v>0</v>
      </c>
      <c r="J484" s="563">
        <f>J493+J494+J495+J496+J497+J498+J492</f>
        <v>3386.5563199999997</v>
      </c>
      <c r="K484" s="484">
        <v>0</v>
      </c>
      <c r="L484" s="485"/>
      <c r="M484" s="239"/>
      <c r="N484" s="323"/>
    </row>
    <row r="485" spans="1:14" ht="34.5" customHeight="1">
      <c r="A485" s="486"/>
      <c r="B485" s="487"/>
      <c r="C485" s="298"/>
      <c r="D485" s="369">
        <v>2023</v>
      </c>
      <c r="E485" s="483">
        <f>E499+E500+E501+E502+E503+E504</f>
        <v>6299.12</v>
      </c>
      <c r="F485" s="483">
        <f aca="true" t="shared" si="68" ref="F485:K485">F499+F500+F501+F502+F503+F504</f>
        <v>0</v>
      </c>
      <c r="G485" s="483">
        <f t="shared" si="68"/>
        <v>0</v>
      </c>
      <c r="H485" s="483">
        <f t="shared" si="68"/>
        <v>0</v>
      </c>
      <c r="I485" s="483">
        <f t="shared" si="68"/>
        <v>0</v>
      </c>
      <c r="J485" s="563">
        <f t="shared" si="68"/>
        <v>6299.12</v>
      </c>
      <c r="K485" s="483">
        <f t="shared" si="68"/>
        <v>0</v>
      </c>
      <c r="L485" s="485"/>
      <c r="M485" s="239"/>
      <c r="N485" s="323"/>
    </row>
    <row r="486" spans="1:14" ht="34.5" customHeight="1">
      <c r="A486" s="486"/>
      <c r="B486" s="487"/>
      <c r="C486" s="298"/>
      <c r="D486" s="369">
        <v>2024</v>
      </c>
      <c r="E486" s="483">
        <f>E505+E506+E507+E508+E509+E510</f>
        <v>6299.12</v>
      </c>
      <c r="F486" s="483">
        <f aca="true" t="shared" si="69" ref="F486:K486">F505+F506+F507+F508+F509+F510</f>
        <v>0</v>
      </c>
      <c r="G486" s="483">
        <f t="shared" si="69"/>
        <v>0</v>
      </c>
      <c r="H486" s="483">
        <f t="shared" si="69"/>
        <v>0</v>
      </c>
      <c r="I486" s="483">
        <f t="shared" si="69"/>
        <v>0</v>
      </c>
      <c r="J486" s="563">
        <f t="shared" si="69"/>
        <v>6299.12</v>
      </c>
      <c r="K486" s="483">
        <f t="shared" si="69"/>
        <v>0</v>
      </c>
      <c r="L486" s="485"/>
      <c r="M486" s="239"/>
      <c r="N486" s="323"/>
    </row>
    <row r="487" spans="1:14" ht="34.5" customHeight="1" thickBot="1">
      <c r="A487" s="486"/>
      <c r="B487" s="487"/>
      <c r="C487" s="298"/>
      <c r="D487" s="369">
        <v>2025</v>
      </c>
      <c r="E487" s="483">
        <f>E511+E512+E513+E514+E515+E516</f>
        <v>6299.12</v>
      </c>
      <c r="F487" s="483">
        <f aca="true" t="shared" si="70" ref="F487:K487">F511+F512+F513+F514+F515+F516</f>
        <v>0</v>
      </c>
      <c r="G487" s="483">
        <f t="shared" si="70"/>
        <v>0</v>
      </c>
      <c r="H487" s="483">
        <f t="shared" si="70"/>
        <v>0</v>
      </c>
      <c r="I487" s="483">
        <f t="shared" si="70"/>
        <v>0</v>
      </c>
      <c r="J487" s="563">
        <f t="shared" si="70"/>
        <v>6299.12</v>
      </c>
      <c r="K487" s="483">
        <f t="shared" si="70"/>
        <v>0</v>
      </c>
      <c r="L487" s="485"/>
      <c r="M487" s="239"/>
      <c r="N487" s="323"/>
    </row>
    <row r="488" spans="1:14" ht="24.75" customHeight="1" thickBot="1">
      <c r="A488" s="719" t="s">
        <v>210</v>
      </c>
      <c r="B488" s="721" t="s">
        <v>211</v>
      </c>
      <c r="C488" s="371" t="s">
        <v>77</v>
      </c>
      <c r="D488" s="15">
        <v>2020</v>
      </c>
      <c r="E488" s="52">
        <v>0</v>
      </c>
      <c r="F488" s="52"/>
      <c r="G488" s="52">
        <v>0</v>
      </c>
      <c r="H488" s="52"/>
      <c r="I488" s="52"/>
      <c r="J488" s="564">
        <v>0</v>
      </c>
      <c r="K488" s="52"/>
      <c r="L488" s="372" t="s">
        <v>77</v>
      </c>
      <c r="M488" s="377"/>
      <c r="N488" s="241"/>
    </row>
    <row r="489" spans="1:14" ht="24.75" customHeight="1" thickBot="1">
      <c r="A489" s="719"/>
      <c r="B489" s="721"/>
      <c r="C489" s="242" t="s">
        <v>79</v>
      </c>
      <c r="D489" s="14">
        <v>2020</v>
      </c>
      <c r="E489" s="42">
        <v>0</v>
      </c>
      <c r="F489" s="42"/>
      <c r="G489" s="42">
        <v>0</v>
      </c>
      <c r="H489" s="42"/>
      <c r="I489" s="42"/>
      <c r="J489" s="565">
        <v>0</v>
      </c>
      <c r="K489" s="42"/>
      <c r="L489" s="280" t="s">
        <v>79</v>
      </c>
      <c r="M489" s="246"/>
      <c r="N489" s="241"/>
    </row>
    <row r="490" spans="1:14" ht="41.25" customHeight="1" thickBot="1">
      <c r="A490" s="719"/>
      <c r="B490" s="721"/>
      <c r="C490" s="16" t="s">
        <v>84</v>
      </c>
      <c r="D490" s="197">
        <v>2020</v>
      </c>
      <c r="E490" s="43">
        <v>0</v>
      </c>
      <c r="F490" s="43"/>
      <c r="G490" s="43">
        <v>0</v>
      </c>
      <c r="H490" s="43"/>
      <c r="I490" s="43"/>
      <c r="J490" s="566">
        <v>0</v>
      </c>
      <c r="K490" s="43"/>
      <c r="L490" s="449" t="s">
        <v>84</v>
      </c>
      <c r="M490" s="415"/>
      <c r="N490" s="241"/>
    </row>
    <row r="491" spans="1:14" ht="41.25" customHeight="1">
      <c r="A491" s="720"/>
      <c r="B491" s="722"/>
      <c r="C491" s="244" t="s">
        <v>83</v>
      </c>
      <c r="D491" s="243">
        <v>2021</v>
      </c>
      <c r="E491" s="240">
        <v>0</v>
      </c>
      <c r="F491" s="240"/>
      <c r="G491" s="240">
        <v>0</v>
      </c>
      <c r="H491" s="240"/>
      <c r="I491" s="240"/>
      <c r="J491" s="625">
        <v>0</v>
      </c>
      <c r="K491" s="240"/>
      <c r="L491" s="238" t="s">
        <v>83</v>
      </c>
      <c r="M491" s="246"/>
      <c r="N491" s="241"/>
    </row>
    <row r="492" spans="1:14" ht="41.25" customHeight="1">
      <c r="A492" s="624"/>
      <c r="B492" s="615"/>
      <c r="C492" s="244" t="s">
        <v>83</v>
      </c>
      <c r="D492" s="243">
        <v>2022</v>
      </c>
      <c r="E492" s="626">
        <f aca="true" t="shared" si="71" ref="E492:E516">F492+G492+J492+K492</f>
        <v>0</v>
      </c>
      <c r="F492" s="240"/>
      <c r="G492" s="240">
        <v>0</v>
      </c>
      <c r="H492" s="240"/>
      <c r="I492" s="240"/>
      <c r="J492" s="625"/>
      <c r="K492" s="240"/>
      <c r="L492" s="238" t="s">
        <v>83</v>
      </c>
      <c r="M492" s="246"/>
      <c r="N492" s="241"/>
    </row>
    <row r="493" spans="1:14" ht="42" customHeight="1">
      <c r="A493" s="723" t="s">
        <v>212</v>
      </c>
      <c r="B493" s="725" t="s">
        <v>291</v>
      </c>
      <c r="C493" s="16" t="s">
        <v>84</v>
      </c>
      <c r="D493" s="627">
        <v>2022</v>
      </c>
      <c r="E493" s="626">
        <f t="shared" si="71"/>
        <v>417.62346</v>
      </c>
      <c r="F493" s="628"/>
      <c r="G493" s="626">
        <f aca="true" t="shared" si="72" ref="G493:G516">H493+I493</f>
        <v>0</v>
      </c>
      <c r="H493" s="629"/>
      <c r="I493" s="630"/>
      <c r="J493" s="631">
        <v>417.62346</v>
      </c>
      <c r="K493" s="632"/>
      <c r="L493" s="289" t="s">
        <v>84</v>
      </c>
      <c r="M493" s="377"/>
      <c r="N493" s="241"/>
    </row>
    <row r="494" spans="1:14" ht="35.25" customHeight="1">
      <c r="A494" s="723"/>
      <c r="B494" s="726"/>
      <c r="C494" s="16" t="s">
        <v>85</v>
      </c>
      <c r="D494" s="243">
        <v>2022</v>
      </c>
      <c r="E494" s="488">
        <f t="shared" si="71"/>
        <v>421.0128</v>
      </c>
      <c r="F494" s="240"/>
      <c r="G494" s="488">
        <f t="shared" si="72"/>
        <v>0</v>
      </c>
      <c r="H494" s="240"/>
      <c r="I494" s="489"/>
      <c r="J494" s="563">
        <v>421.0128</v>
      </c>
      <c r="K494" s="240"/>
      <c r="L494" s="244" t="s">
        <v>85</v>
      </c>
      <c r="M494" s="246"/>
      <c r="N494" s="241"/>
    </row>
    <row r="495" spans="1:14" ht="37.5" customHeight="1" thickBot="1">
      <c r="A495" s="723"/>
      <c r="B495" s="726"/>
      <c r="C495" s="29" t="s">
        <v>300</v>
      </c>
      <c r="D495" s="243">
        <v>2022</v>
      </c>
      <c r="E495" s="488">
        <f t="shared" si="71"/>
        <v>226.6</v>
      </c>
      <c r="F495" s="240"/>
      <c r="G495" s="488">
        <f t="shared" si="72"/>
        <v>0</v>
      </c>
      <c r="H495" s="240"/>
      <c r="I495" s="489"/>
      <c r="J495" s="563">
        <v>226.6</v>
      </c>
      <c r="K495" s="240"/>
      <c r="L495" s="274" t="s">
        <v>300</v>
      </c>
      <c r="M495" s="246"/>
      <c r="N495" s="241"/>
    </row>
    <row r="496" spans="1:14" ht="24.75" customHeight="1">
      <c r="A496" s="723"/>
      <c r="B496" s="726"/>
      <c r="C496" s="242" t="s">
        <v>77</v>
      </c>
      <c r="D496" s="243">
        <v>2022</v>
      </c>
      <c r="E496" s="488">
        <f t="shared" si="71"/>
        <v>616.68841</v>
      </c>
      <c r="F496" s="240"/>
      <c r="G496" s="488">
        <f t="shared" si="72"/>
        <v>0</v>
      </c>
      <c r="H496" s="240"/>
      <c r="I496" s="489"/>
      <c r="J496" s="563">
        <v>616.68841</v>
      </c>
      <c r="K496" s="240"/>
      <c r="L496" s="280" t="s">
        <v>77</v>
      </c>
      <c r="M496" s="246"/>
      <c r="N496" s="241"/>
    </row>
    <row r="497" spans="1:14" ht="24.75" customHeight="1">
      <c r="A497" s="723"/>
      <c r="B497" s="726"/>
      <c r="C497" s="242" t="s">
        <v>79</v>
      </c>
      <c r="D497" s="243">
        <v>2022</v>
      </c>
      <c r="E497" s="488">
        <f t="shared" si="71"/>
        <v>1280.22951</v>
      </c>
      <c r="F497" s="240"/>
      <c r="G497" s="488">
        <f t="shared" si="72"/>
        <v>0</v>
      </c>
      <c r="H497" s="240"/>
      <c r="I497" s="489"/>
      <c r="J497" s="563">
        <v>1280.22951</v>
      </c>
      <c r="K497" s="240"/>
      <c r="L497" s="280" t="s">
        <v>79</v>
      </c>
      <c r="M497" s="246"/>
      <c r="N497" s="241"/>
    </row>
    <row r="498" spans="1:14" ht="45.75" customHeight="1">
      <c r="A498" s="724"/>
      <c r="B498" s="726"/>
      <c r="C498" s="479" t="s">
        <v>83</v>
      </c>
      <c r="D498" s="490">
        <v>2022</v>
      </c>
      <c r="E498" s="491">
        <f t="shared" si="71"/>
        <v>424.40214</v>
      </c>
      <c r="F498" s="492"/>
      <c r="G498" s="491">
        <f t="shared" si="72"/>
        <v>0</v>
      </c>
      <c r="H498" s="492"/>
      <c r="I498" s="493"/>
      <c r="J498" s="567">
        <v>424.40214</v>
      </c>
      <c r="K498" s="492"/>
      <c r="L498" s="449" t="s">
        <v>83</v>
      </c>
      <c r="M498" s="415"/>
      <c r="N498" s="241"/>
    </row>
    <row r="499" spans="1:14" ht="45.75" customHeight="1">
      <c r="A499" s="370"/>
      <c r="B499" s="727"/>
      <c r="C499" s="238" t="s">
        <v>84</v>
      </c>
      <c r="D499" s="369">
        <v>2023</v>
      </c>
      <c r="E499" s="491">
        <f t="shared" si="71"/>
        <v>823.5</v>
      </c>
      <c r="F499" s="240"/>
      <c r="G499" s="491">
        <f t="shared" si="72"/>
        <v>0</v>
      </c>
      <c r="H499" s="240"/>
      <c r="I499" s="489"/>
      <c r="J499" s="563">
        <v>823.5</v>
      </c>
      <c r="K499" s="240"/>
      <c r="L499" s="238" t="s">
        <v>84</v>
      </c>
      <c r="M499" s="246"/>
      <c r="N499" s="241"/>
    </row>
    <row r="500" spans="1:14" ht="45.75" customHeight="1">
      <c r="A500" s="370"/>
      <c r="B500" s="727"/>
      <c r="C500" s="238" t="s">
        <v>85</v>
      </c>
      <c r="D500" s="369">
        <v>2023</v>
      </c>
      <c r="E500" s="491">
        <f t="shared" si="71"/>
        <v>785.5</v>
      </c>
      <c r="F500" s="240"/>
      <c r="G500" s="491">
        <f t="shared" si="72"/>
        <v>0</v>
      </c>
      <c r="H500" s="240"/>
      <c r="I500" s="489"/>
      <c r="J500" s="563">
        <v>785.5</v>
      </c>
      <c r="K500" s="240"/>
      <c r="L500" s="238" t="s">
        <v>85</v>
      </c>
      <c r="M500" s="246"/>
      <c r="N500" s="241"/>
    </row>
    <row r="501" spans="1:14" ht="45.75" customHeight="1">
      <c r="A501" s="370"/>
      <c r="B501" s="727"/>
      <c r="C501" s="238" t="s">
        <v>300</v>
      </c>
      <c r="D501" s="369">
        <v>2023</v>
      </c>
      <c r="E501" s="491">
        <f t="shared" si="71"/>
        <v>541</v>
      </c>
      <c r="F501" s="240"/>
      <c r="G501" s="491">
        <f t="shared" si="72"/>
        <v>0</v>
      </c>
      <c r="H501" s="240"/>
      <c r="I501" s="489"/>
      <c r="J501" s="563">
        <v>541</v>
      </c>
      <c r="K501" s="240"/>
      <c r="L501" s="238" t="s">
        <v>300</v>
      </c>
      <c r="M501" s="246"/>
      <c r="N501" s="241"/>
    </row>
    <row r="502" spans="1:14" ht="45.75" customHeight="1">
      <c r="A502" s="370"/>
      <c r="B502" s="727"/>
      <c r="C502" s="242" t="s">
        <v>77</v>
      </c>
      <c r="D502" s="369">
        <v>2023</v>
      </c>
      <c r="E502" s="491">
        <f t="shared" si="71"/>
        <v>1152</v>
      </c>
      <c r="F502" s="240"/>
      <c r="G502" s="491">
        <f t="shared" si="72"/>
        <v>0</v>
      </c>
      <c r="H502" s="240"/>
      <c r="I502" s="489"/>
      <c r="J502" s="563">
        <v>1152</v>
      </c>
      <c r="K502" s="240"/>
      <c r="L502" s="242" t="s">
        <v>77</v>
      </c>
      <c r="M502" s="246"/>
      <c r="N502" s="241"/>
    </row>
    <row r="503" spans="1:14" ht="45.75" customHeight="1">
      <c r="A503" s="370"/>
      <c r="B503" s="727"/>
      <c r="C503" s="242" t="s">
        <v>79</v>
      </c>
      <c r="D503" s="369">
        <v>2023</v>
      </c>
      <c r="E503" s="491">
        <f t="shared" si="71"/>
        <v>2169.8</v>
      </c>
      <c r="F503" s="240"/>
      <c r="G503" s="491">
        <f t="shared" si="72"/>
        <v>0</v>
      </c>
      <c r="H503" s="240"/>
      <c r="I503" s="489"/>
      <c r="J503" s="563">
        <v>2169.8</v>
      </c>
      <c r="K503" s="240"/>
      <c r="L503" s="242" t="s">
        <v>79</v>
      </c>
      <c r="M503" s="246"/>
      <c r="N503" s="241"/>
    </row>
    <row r="504" spans="1:14" ht="45.75" customHeight="1">
      <c r="A504" s="370"/>
      <c r="B504" s="727"/>
      <c r="C504" s="238" t="s">
        <v>83</v>
      </c>
      <c r="D504" s="369">
        <v>2023</v>
      </c>
      <c r="E504" s="491">
        <f t="shared" si="71"/>
        <v>827.32</v>
      </c>
      <c r="F504" s="240"/>
      <c r="G504" s="491">
        <f t="shared" si="72"/>
        <v>0</v>
      </c>
      <c r="H504" s="240"/>
      <c r="I504" s="489"/>
      <c r="J504" s="563">
        <v>827.32</v>
      </c>
      <c r="K504" s="240"/>
      <c r="L504" s="238" t="s">
        <v>83</v>
      </c>
      <c r="M504" s="246"/>
      <c r="N504" s="241"/>
    </row>
    <row r="505" spans="1:14" ht="45.75" customHeight="1">
      <c r="A505" s="370"/>
      <c r="B505" s="727"/>
      <c r="C505" s="238" t="s">
        <v>84</v>
      </c>
      <c r="D505" s="243">
        <v>2024</v>
      </c>
      <c r="E505" s="491">
        <f t="shared" si="71"/>
        <v>823.5</v>
      </c>
      <c r="F505" s="240"/>
      <c r="G505" s="491">
        <f t="shared" si="72"/>
        <v>0</v>
      </c>
      <c r="H505" s="240"/>
      <c r="I505" s="489"/>
      <c r="J505" s="563">
        <v>823.5</v>
      </c>
      <c r="K505" s="240"/>
      <c r="L505" s="238" t="s">
        <v>84</v>
      </c>
      <c r="M505" s="246"/>
      <c r="N505" s="241"/>
    </row>
    <row r="506" spans="1:14" ht="45.75" customHeight="1">
      <c r="A506" s="370"/>
      <c r="B506" s="727"/>
      <c r="C506" s="238" t="s">
        <v>85</v>
      </c>
      <c r="D506" s="243">
        <v>2024</v>
      </c>
      <c r="E506" s="491">
        <f t="shared" si="71"/>
        <v>785.5</v>
      </c>
      <c r="F506" s="240"/>
      <c r="G506" s="491">
        <f t="shared" si="72"/>
        <v>0</v>
      </c>
      <c r="H506" s="240"/>
      <c r="I506" s="489"/>
      <c r="J506" s="563">
        <v>785.5</v>
      </c>
      <c r="K506" s="240"/>
      <c r="L506" s="238" t="s">
        <v>85</v>
      </c>
      <c r="M506" s="246"/>
      <c r="N506" s="241"/>
    </row>
    <row r="507" spans="1:14" ht="45.75" customHeight="1">
      <c r="A507" s="370"/>
      <c r="B507" s="727"/>
      <c r="C507" s="238" t="s">
        <v>300</v>
      </c>
      <c r="D507" s="243">
        <v>2024</v>
      </c>
      <c r="E507" s="491">
        <f t="shared" si="71"/>
        <v>541</v>
      </c>
      <c r="F507" s="240"/>
      <c r="G507" s="491">
        <f t="shared" si="72"/>
        <v>0</v>
      </c>
      <c r="H507" s="240"/>
      <c r="I507" s="489"/>
      <c r="J507" s="563">
        <v>541</v>
      </c>
      <c r="K507" s="240"/>
      <c r="L507" s="238" t="s">
        <v>300</v>
      </c>
      <c r="M507" s="246"/>
      <c r="N507" s="241"/>
    </row>
    <row r="508" spans="1:14" ht="45.75" customHeight="1">
      <c r="A508" s="370"/>
      <c r="B508" s="727"/>
      <c r="C508" s="242" t="s">
        <v>77</v>
      </c>
      <c r="D508" s="243">
        <v>2024</v>
      </c>
      <c r="E508" s="491">
        <f t="shared" si="71"/>
        <v>1152</v>
      </c>
      <c r="F508" s="240"/>
      <c r="G508" s="491">
        <f t="shared" si="72"/>
        <v>0</v>
      </c>
      <c r="H508" s="240"/>
      <c r="I508" s="489"/>
      <c r="J508" s="563">
        <v>1152</v>
      </c>
      <c r="K508" s="240"/>
      <c r="L508" s="242" t="s">
        <v>77</v>
      </c>
      <c r="M508" s="246"/>
      <c r="N508" s="241"/>
    </row>
    <row r="509" spans="1:14" ht="45.75" customHeight="1">
      <c r="A509" s="370"/>
      <c r="B509" s="727"/>
      <c r="C509" s="242" t="s">
        <v>79</v>
      </c>
      <c r="D509" s="243">
        <v>2024</v>
      </c>
      <c r="E509" s="491">
        <f t="shared" si="71"/>
        <v>2169.8</v>
      </c>
      <c r="F509" s="240"/>
      <c r="G509" s="491">
        <f t="shared" si="72"/>
        <v>0</v>
      </c>
      <c r="H509" s="240"/>
      <c r="I509" s="489"/>
      <c r="J509" s="563">
        <v>2169.8</v>
      </c>
      <c r="K509" s="240"/>
      <c r="L509" s="242" t="s">
        <v>79</v>
      </c>
      <c r="M509" s="246"/>
      <c r="N509" s="241"/>
    </row>
    <row r="510" spans="1:14" ht="45.75" customHeight="1">
      <c r="A510" s="370"/>
      <c r="B510" s="727"/>
      <c r="C510" s="238" t="s">
        <v>83</v>
      </c>
      <c r="D510" s="243">
        <v>2024</v>
      </c>
      <c r="E510" s="491">
        <f t="shared" si="71"/>
        <v>827.32</v>
      </c>
      <c r="F510" s="240"/>
      <c r="G510" s="491">
        <f t="shared" si="72"/>
        <v>0</v>
      </c>
      <c r="H510" s="240"/>
      <c r="I510" s="489"/>
      <c r="J510" s="563">
        <v>827.32</v>
      </c>
      <c r="K510" s="240"/>
      <c r="L510" s="238" t="s">
        <v>83</v>
      </c>
      <c r="M510" s="246"/>
      <c r="N510" s="241"/>
    </row>
    <row r="511" spans="1:14" ht="45.75" customHeight="1">
      <c r="A511" s="370"/>
      <c r="B511" s="727"/>
      <c r="C511" s="238" t="s">
        <v>84</v>
      </c>
      <c r="D511" s="369">
        <v>2025</v>
      </c>
      <c r="E511" s="491">
        <f t="shared" si="71"/>
        <v>823.5</v>
      </c>
      <c r="F511" s="240"/>
      <c r="G511" s="491">
        <f t="shared" si="72"/>
        <v>0</v>
      </c>
      <c r="H511" s="240"/>
      <c r="I511" s="489"/>
      <c r="J511" s="563">
        <v>823.5</v>
      </c>
      <c r="K511" s="240"/>
      <c r="L511" s="238" t="s">
        <v>84</v>
      </c>
      <c r="M511" s="246"/>
      <c r="N511" s="241"/>
    </row>
    <row r="512" spans="1:14" ht="45.75" customHeight="1">
      <c r="A512" s="370"/>
      <c r="B512" s="727"/>
      <c r="C512" s="238" t="s">
        <v>85</v>
      </c>
      <c r="D512" s="369">
        <v>2025</v>
      </c>
      <c r="E512" s="491">
        <f t="shared" si="71"/>
        <v>785.5</v>
      </c>
      <c r="F512" s="240"/>
      <c r="G512" s="491">
        <f t="shared" si="72"/>
        <v>0</v>
      </c>
      <c r="H512" s="240"/>
      <c r="I512" s="489"/>
      <c r="J512" s="563">
        <v>785.5</v>
      </c>
      <c r="K512" s="240"/>
      <c r="L512" s="238" t="s">
        <v>85</v>
      </c>
      <c r="M512" s="246"/>
      <c r="N512" s="241"/>
    </row>
    <row r="513" spans="1:14" ht="45.75" customHeight="1">
      <c r="A513" s="370"/>
      <c r="B513" s="727"/>
      <c r="C513" s="238" t="s">
        <v>300</v>
      </c>
      <c r="D513" s="369">
        <v>2025</v>
      </c>
      <c r="E513" s="491">
        <f t="shared" si="71"/>
        <v>541</v>
      </c>
      <c r="F513" s="240"/>
      <c r="G513" s="491">
        <f t="shared" si="72"/>
        <v>0</v>
      </c>
      <c r="H513" s="240"/>
      <c r="I513" s="489"/>
      <c r="J513" s="563">
        <v>541</v>
      </c>
      <c r="K513" s="240"/>
      <c r="L513" s="238" t="s">
        <v>300</v>
      </c>
      <c r="M513" s="246"/>
      <c r="N513" s="241"/>
    </row>
    <row r="514" spans="1:14" ht="45.75" customHeight="1">
      <c r="A514" s="370"/>
      <c r="B514" s="727"/>
      <c r="C514" s="242" t="s">
        <v>77</v>
      </c>
      <c r="D514" s="369">
        <v>2025</v>
      </c>
      <c r="E514" s="491">
        <f t="shared" si="71"/>
        <v>1152</v>
      </c>
      <c r="F514" s="240"/>
      <c r="G514" s="491">
        <f t="shared" si="72"/>
        <v>0</v>
      </c>
      <c r="H514" s="240"/>
      <c r="I514" s="489"/>
      <c r="J514" s="563">
        <v>1152</v>
      </c>
      <c r="K514" s="240"/>
      <c r="L514" s="242" t="s">
        <v>77</v>
      </c>
      <c r="M514" s="246"/>
      <c r="N514" s="241"/>
    </row>
    <row r="515" spans="1:14" ht="45.75" customHeight="1">
      <c r="A515" s="370"/>
      <c r="B515" s="727"/>
      <c r="C515" s="242" t="s">
        <v>79</v>
      </c>
      <c r="D515" s="369">
        <v>2025</v>
      </c>
      <c r="E515" s="491">
        <f t="shared" si="71"/>
        <v>2169.8</v>
      </c>
      <c r="F515" s="240"/>
      <c r="G515" s="491">
        <f t="shared" si="72"/>
        <v>0</v>
      </c>
      <c r="H515" s="240"/>
      <c r="I515" s="489"/>
      <c r="J515" s="563">
        <v>2169.8</v>
      </c>
      <c r="K515" s="240"/>
      <c r="L515" s="242" t="s">
        <v>79</v>
      </c>
      <c r="M515" s="246"/>
      <c r="N515" s="241"/>
    </row>
    <row r="516" spans="1:14" ht="45.75" customHeight="1">
      <c r="A516" s="370"/>
      <c r="B516" s="728"/>
      <c r="C516" s="238" t="s">
        <v>83</v>
      </c>
      <c r="D516" s="369">
        <v>2025</v>
      </c>
      <c r="E516" s="491">
        <f t="shared" si="71"/>
        <v>827.32</v>
      </c>
      <c r="F516" s="240"/>
      <c r="G516" s="491">
        <f t="shared" si="72"/>
        <v>0</v>
      </c>
      <c r="H516" s="240"/>
      <c r="I516" s="489"/>
      <c r="J516" s="563">
        <v>827.32</v>
      </c>
      <c r="K516" s="240"/>
      <c r="L516" s="238" t="s">
        <v>83</v>
      </c>
      <c r="M516" s="246"/>
      <c r="N516" s="241"/>
    </row>
    <row r="517" spans="1:14" ht="39.75" customHeight="1">
      <c r="A517" s="378" t="s">
        <v>213</v>
      </c>
      <c r="B517" s="246" t="s">
        <v>214</v>
      </c>
      <c r="C517" s="242" t="s">
        <v>79</v>
      </c>
      <c r="D517" s="243">
        <v>2020</v>
      </c>
      <c r="E517" s="240"/>
      <c r="F517" s="240"/>
      <c r="G517" s="240"/>
      <c r="H517" s="240"/>
      <c r="I517" s="240"/>
      <c r="J517" s="555">
        <v>0</v>
      </c>
      <c r="K517" s="240"/>
      <c r="L517" s="242" t="s">
        <v>79</v>
      </c>
      <c r="M517" s="246"/>
      <c r="N517" s="241"/>
    </row>
    <row r="518" spans="1:14" ht="36" customHeight="1">
      <c r="A518" s="378" t="s">
        <v>215</v>
      </c>
      <c r="B518" s="246" t="s">
        <v>216</v>
      </c>
      <c r="C518" s="242" t="s">
        <v>79</v>
      </c>
      <c r="D518" s="243">
        <v>2020</v>
      </c>
      <c r="E518" s="240"/>
      <c r="F518" s="240"/>
      <c r="G518" s="240"/>
      <c r="H518" s="240"/>
      <c r="I518" s="240"/>
      <c r="J518" s="555">
        <v>0</v>
      </c>
      <c r="K518" s="240"/>
      <c r="L518" s="242" t="s">
        <v>79</v>
      </c>
      <c r="M518" s="246"/>
      <c r="N518" s="241"/>
    </row>
    <row r="519" spans="1:14" ht="37.5" customHeight="1">
      <c r="A519" s="370" t="s">
        <v>217</v>
      </c>
      <c r="B519" s="246" t="s">
        <v>218</v>
      </c>
      <c r="C519" s="238" t="s">
        <v>83</v>
      </c>
      <c r="D519" s="243">
        <v>2020</v>
      </c>
      <c r="E519" s="240"/>
      <c r="F519" s="240"/>
      <c r="G519" s="240"/>
      <c r="H519" s="240"/>
      <c r="I519" s="240"/>
      <c r="J519" s="555">
        <v>0</v>
      </c>
      <c r="K519" s="240"/>
      <c r="L519" s="238" t="s">
        <v>83</v>
      </c>
      <c r="M519" s="246"/>
      <c r="N519" s="241"/>
    </row>
    <row r="520" spans="1:14" ht="41.25" customHeight="1" thickBot="1">
      <c r="A520" s="373" t="s">
        <v>219</v>
      </c>
      <c r="B520" s="374" t="s">
        <v>220</v>
      </c>
      <c r="C520" s="375" t="s">
        <v>83</v>
      </c>
      <c r="D520" s="376">
        <v>2020</v>
      </c>
      <c r="E520" s="153"/>
      <c r="F520" s="153"/>
      <c r="G520" s="153"/>
      <c r="H520" s="153"/>
      <c r="I520" s="153"/>
      <c r="J520" s="553">
        <v>0</v>
      </c>
      <c r="K520" s="153"/>
      <c r="L520" s="289" t="s">
        <v>83</v>
      </c>
      <c r="M520" s="377"/>
      <c r="N520" s="241"/>
    </row>
    <row r="521" spans="1:14" s="55" customFormat="1" ht="41.25" customHeight="1" thickBot="1">
      <c r="A521" s="707" t="s">
        <v>221</v>
      </c>
      <c r="B521" s="198" t="s">
        <v>222</v>
      </c>
      <c r="C521" s="198"/>
      <c r="D521" s="199">
        <v>2020</v>
      </c>
      <c r="E521" s="48">
        <f>F521+G521+J521+K521</f>
        <v>1762</v>
      </c>
      <c r="F521" s="48"/>
      <c r="G521" s="48">
        <f>H521+I521</f>
        <v>1533</v>
      </c>
      <c r="H521" s="48"/>
      <c r="I521" s="48">
        <f>I522+I523+I524</f>
        <v>1533</v>
      </c>
      <c r="J521" s="550">
        <f>J522+J523+J524</f>
        <v>229</v>
      </c>
      <c r="K521" s="48">
        <f>K522+K523+K524</f>
        <v>0</v>
      </c>
      <c r="L521" s="314"/>
      <c r="M521" s="302"/>
      <c r="N521" s="296"/>
    </row>
    <row r="522" spans="1:14" ht="77.25" customHeight="1" thickBot="1">
      <c r="A522" s="707"/>
      <c r="B522" s="200" t="s">
        <v>223</v>
      </c>
      <c r="C522" s="201"/>
      <c r="D522" s="15">
        <v>2020</v>
      </c>
      <c r="E522" s="52">
        <f>F522+G522+J522+K522</f>
        <v>300</v>
      </c>
      <c r="F522" s="52"/>
      <c r="G522" s="52">
        <f>H522+I522</f>
        <v>261</v>
      </c>
      <c r="H522" s="52"/>
      <c r="I522" s="52">
        <v>261</v>
      </c>
      <c r="J522" s="551">
        <v>39</v>
      </c>
      <c r="K522" s="52">
        <v>0</v>
      </c>
      <c r="L522" s="244" t="s">
        <v>83</v>
      </c>
      <c r="M522" s="246"/>
      <c r="N522" s="241"/>
    </row>
    <row r="523" spans="1:14" ht="42.75" customHeight="1" thickBot="1">
      <c r="A523" s="707"/>
      <c r="B523" s="708" t="s">
        <v>224</v>
      </c>
      <c r="C523" s="202"/>
      <c r="D523" s="14">
        <v>2020</v>
      </c>
      <c r="E523" s="42">
        <f>F523+G523+J523+K523</f>
        <v>657.4</v>
      </c>
      <c r="F523" s="42"/>
      <c r="G523" s="42">
        <f>H523+I523</f>
        <v>572</v>
      </c>
      <c r="H523" s="42"/>
      <c r="I523" s="42">
        <v>572</v>
      </c>
      <c r="J523" s="538">
        <v>85.4</v>
      </c>
      <c r="K523" s="42">
        <v>0</v>
      </c>
      <c r="L523" s="280" t="s">
        <v>77</v>
      </c>
      <c r="M523" s="246"/>
      <c r="N523" s="241"/>
    </row>
    <row r="524" spans="1:14" ht="42.75" customHeight="1" thickBot="1">
      <c r="A524" s="707"/>
      <c r="B524" s="708"/>
      <c r="C524" s="202"/>
      <c r="D524" s="14">
        <v>2020</v>
      </c>
      <c r="E524" s="42">
        <f>F524+G524+J524+K524</f>
        <v>804.6</v>
      </c>
      <c r="F524" s="42"/>
      <c r="G524" s="42">
        <f>H524+I524</f>
        <v>700</v>
      </c>
      <c r="H524" s="42"/>
      <c r="I524" s="42">
        <v>700</v>
      </c>
      <c r="J524" s="538">
        <v>104.6</v>
      </c>
      <c r="K524" s="42">
        <v>0</v>
      </c>
      <c r="L524" s="280" t="s">
        <v>79</v>
      </c>
      <c r="M524" s="246"/>
      <c r="N524" s="241"/>
    </row>
    <row r="525" spans="1:19" s="55" customFormat="1" ht="40.5" customHeight="1">
      <c r="A525" s="203"/>
      <c r="B525" s="204" t="s">
        <v>222</v>
      </c>
      <c r="C525" s="205"/>
      <c r="D525" s="45">
        <v>2021</v>
      </c>
      <c r="E525" s="44">
        <f aca="true" t="shared" si="73" ref="E525:K525">E526+E527+E528</f>
        <v>1790.993</v>
      </c>
      <c r="F525" s="44">
        <f t="shared" si="73"/>
        <v>0</v>
      </c>
      <c r="G525" s="44">
        <f t="shared" si="73"/>
        <v>0</v>
      </c>
      <c r="H525" s="44">
        <f t="shared" si="73"/>
        <v>0</v>
      </c>
      <c r="I525" s="44">
        <f t="shared" si="73"/>
        <v>0</v>
      </c>
      <c r="J525" s="552">
        <f t="shared" si="73"/>
        <v>1790.993</v>
      </c>
      <c r="K525" s="44">
        <f t="shared" si="73"/>
        <v>0</v>
      </c>
      <c r="L525" s="315"/>
      <c r="M525" s="328"/>
      <c r="N525" s="324"/>
      <c r="S525" s="36"/>
    </row>
    <row r="526" spans="1:19" s="55" customFormat="1" ht="60.75" customHeight="1">
      <c r="A526" s="206"/>
      <c r="B526" s="709" t="s">
        <v>364</v>
      </c>
      <c r="C526" s="207"/>
      <c r="D526" s="4"/>
      <c r="E526" s="42">
        <f>J526</f>
        <v>98.133</v>
      </c>
      <c r="F526" s="12"/>
      <c r="G526" s="42">
        <f aca="true" t="shared" si="74" ref="G526:G536">I526</f>
        <v>0</v>
      </c>
      <c r="H526" s="42"/>
      <c r="I526" s="42">
        <v>0</v>
      </c>
      <c r="J526" s="538">
        <f>12.532+85.601</f>
        <v>98.133</v>
      </c>
      <c r="K526" s="42">
        <v>0</v>
      </c>
      <c r="L526" s="244" t="s">
        <v>83</v>
      </c>
      <c r="M526" s="329"/>
      <c r="N526" s="325"/>
      <c r="S526" s="36"/>
    </row>
    <row r="527" spans="1:19" s="55" customFormat="1" ht="39.75" customHeight="1">
      <c r="A527" s="206"/>
      <c r="B527" s="709"/>
      <c r="C527" s="242" t="s">
        <v>77</v>
      </c>
      <c r="D527" s="208"/>
      <c r="E527" s="42">
        <f>G527</f>
        <v>0</v>
      </c>
      <c r="F527" s="12"/>
      <c r="G527" s="42">
        <f t="shared" si="74"/>
        <v>0</v>
      </c>
      <c r="H527" s="42"/>
      <c r="I527" s="42">
        <v>0</v>
      </c>
      <c r="J527" s="538">
        <v>0</v>
      </c>
      <c r="K527" s="42">
        <v>0</v>
      </c>
      <c r="L527" s="280" t="s">
        <v>77</v>
      </c>
      <c r="M527" s="329"/>
      <c r="N527" s="325"/>
      <c r="S527" s="36"/>
    </row>
    <row r="528" spans="1:19" s="55" customFormat="1" ht="48" customHeight="1">
      <c r="A528" s="206"/>
      <c r="B528" s="709"/>
      <c r="C528" s="242" t="s">
        <v>79</v>
      </c>
      <c r="D528" s="45"/>
      <c r="E528" s="43">
        <f aca="true" t="shared" si="75" ref="E528:E538">F528+G528+J528+K528</f>
        <v>1692.86</v>
      </c>
      <c r="F528" s="30"/>
      <c r="G528" s="43">
        <f t="shared" si="74"/>
        <v>0</v>
      </c>
      <c r="H528" s="43"/>
      <c r="I528" s="43">
        <v>0</v>
      </c>
      <c r="J528" s="552">
        <v>1692.86</v>
      </c>
      <c r="K528" s="43">
        <v>0</v>
      </c>
      <c r="L528" s="639" t="s">
        <v>79</v>
      </c>
      <c r="M528" s="329"/>
      <c r="N528" s="325"/>
      <c r="S528" s="36"/>
    </row>
    <row r="529" spans="1:19" s="55" customFormat="1" ht="82.5" customHeight="1">
      <c r="A529" s="206"/>
      <c r="B529" s="709"/>
      <c r="C529" s="242" t="s">
        <v>79</v>
      </c>
      <c r="D529" s="633">
        <v>2022</v>
      </c>
      <c r="E529" s="240">
        <f t="shared" si="75"/>
        <v>964.9</v>
      </c>
      <c r="F529" s="506"/>
      <c r="G529" s="240">
        <f t="shared" si="74"/>
        <v>839.463</v>
      </c>
      <c r="H529" s="240"/>
      <c r="I529" s="240">
        <v>839.463</v>
      </c>
      <c r="J529" s="555">
        <v>125.437</v>
      </c>
      <c r="K529" s="240">
        <v>0</v>
      </c>
      <c r="L529" s="644"/>
      <c r="M529" s="329"/>
      <c r="N529" s="325"/>
      <c r="S529" s="36"/>
    </row>
    <row r="530" spans="1:19" s="55" customFormat="1" ht="82.5" customHeight="1">
      <c r="A530" s="206"/>
      <c r="B530" s="709"/>
      <c r="C530" s="242" t="s">
        <v>77</v>
      </c>
      <c r="D530" s="633">
        <v>2022</v>
      </c>
      <c r="E530" s="240">
        <f>F530+G530+J530+K530</f>
        <v>277.6</v>
      </c>
      <c r="F530" s="506"/>
      <c r="G530" s="240">
        <f>I530</f>
        <v>241.537</v>
      </c>
      <c r="H530" s="240"/>
      <c r="I530" s="240">
        <v>241.537</v>
      </c>
      <c r="J530" s="555">
        <v>36.063</v>
      </c>
      <c r="K530" s="240"/>
      <c r="L530" s="644"/>
      <c r="M530" s="329"/>
      <c r="N530" s="325"/>
      <c r="S530" s="36"/>
    </row>
    <row r="531" spans="1:19" s="55" customFormat="1" ht="82.5" customHeight="1">
      <c r="A531" s="206"/>
      <c r="B531" s="709"/>
      <c r="C531" s="16" t="s">
        <v>83</v>
      </c>
      <c r="D531" s="633">
        <v>2022</v>
      </c>
      <c r="E531" s="240">
        <f t="shared" si="75"/>
        <v>648.3</v>
      </c>
      <c r="F531" s="506"/>
      <c r="G531" s="240">
        <f t="shared" si="74"/>
        <v>564</v>
      </c>
      <c r="H531" s="240"/>
      <c r="I531" s="240">
        <v>564</v>
      </c>
      <c r="J531" s="555">
        <v>84.3</v>
      </c>
      <c r="K531" s="240">
        <v>0</v>
      </c>
      <c r="L531" s="238" t="s">
        <v>83</v>
      </c>
      <c r="M531" s="329"/>
      <c r="N531" s="325"/>
      <c r="S531" s="36"/>
    </row>
    <row r="532" spans="1:19" s="55" customFormat="1" ht="82.5" customHeight="1">
      <c r="A532" s="206"/>
      <c r="B532" s="709"/>
      <c r="C532" s="242" t="s">
        <v>79</v>
      </c>
      <c r="D532" s="4">
        <v>2023</v>
      </c>
      <c r="E532" s="640">
        <f t="shared" si="75"/>
        <v>1242.5</v>
      </c>
      <c r="F532" s="641"/>
      <c r="G532" s="642">
        <f t="shared" si="74"/>
        <v>1081</v>
      </c>
      <c r="H532" s="52"/>
      <c r="I532" s="52">
        <v>1081</v>
      </c>
      <c r="J532" s="551">
        <v>161.5</v>
      </c>
      <c r="K532" s="52">
        <v>0</v>
      </c>
      <c r="L532" s="643"/>
      <c r="M532" s="329"/>
      <c r="N532" s="325"/>
      <c r="S532" s="36"/>
    </row>
    <row r="533" spans="1:19" s="55" customFormat="1" ht="82.5" customHeight="1">
      <c r="A533" s="584"/>
      <c r="B533" s="585"/>
      <c r="C533" s="16" t="s">
        <v>83</v>
      </c>
      <c r="D533" s="4">
        <v>2023</v>
      </c>
      <c r="E533" s="529">
        <f t="shared" si="75"/>
        <v>651.7</v>
      </c>
      <c r="F533" s="506"/>
      <c r="G533" s="530">
        <f t="shared" si="74"/>
        <v>567</v>
      </c>
      <c r="H533" s="42"/>
      <c r="I533" s="42">
        <v>567</v>
      </c>
      <c r="J533" s="538">
        <v>84.7</v>
      </c>
      <c r="K533" s="42">
        <v>0</v>
      </c>
      <c r="L533" s="244" t="s">
        <v>83</v>
      </c>
      <c r="M533" s="329"/>
      <c r="N533" s="325"/>
      <c r="S533" s="36"/>
    </row>
    <row r="534" spans="1:19" s="55" customFormat="1" ht="43.5" customHeight="1" thickBot="1">
      <c r="A534" s="494"/>
      <c r="B534" s="710" t="s">
        <v>224</v>
      </c>
      <c r="C534" s="242" t="s">
        <v>77</v>
      </c>
      <c r="D534" s="208">
        <v>2024</v>
      </c>
      <c r="E534" s="529">
        <f t="shared" si="75"/>
        <v>1242.5</v>
      </c>
      <c r="F534" s="506"/>
      <c r="G534" s="530">
        <f t="shared" si="74"/>
        <v>1081</v>
      </c>
      <c r="H534" s="52"/>
      <c r="I534" s="52">
        <v>1081</v>
      </c>
      <c r="J534" s="551">
        <v>161.5</v>
      </c>
      <c r="K534" s="52"/>
      <c r="L534" s="280" t="s">
        <v>77</v>
      </c>
      <c r="M534" s="329"/>
      <c r="N534" s="325"/>
      <c r="S534" s="36"/>
    </row>
    <row r="535" spans="1:19" s="55" customFormat="1" ht="43.5" customHeight="1" thickBot="1">
      <c r="A535" s="494"/>
      <c r="B535" s="710"/>
      <c r="C535" s="16" t="s">
        <v>84</v>
      </c>
      <c r="D535" s="208">
        <v>2024</v>
      </c>
      <c r="E535" s="529">
        <f t="shared" si="75"/>
        <v>651.7</v>
      </c>
      <c r="F535" s="506"/>
      <c r="G535" s="530">
        <f t="shared" si="74"/>
        <v>567</v>
      </c>
      <c r="H535" s="52"/>
      <c r="I535" s="52">
        <v>567</v>
      </c>
      <c r="J535" s="551">
        <v>84.7</v>
      </c>
      <c r="K535" s="52"/>
      <c r="L535" s="244" t="s">
        <v>84</v>
      </c>
      <c r="M535" s="329"/>
      <c r="N535" s="325"/>
      <c r="S535" s="36"/>
    </row>
    <row r="536" spans="1:14" s="55" customFormat="1" ht="41.25" customHeight="1" thickBot="1">
      <c r="A536" s="203"/>
      <c r="B536" s="710"/>
      <c r="C536" s="242" t="s">
        <v>79</v>
      </c>
      <c r="D536" s="45"/>
      <c r="E536" s="529">
        <f t="shared" si="75"/>
        <v>0</v>
      </c>
      <c r="F536" s="506"/>
      <c r="G536" s="530">
        <f t="shared" si="74"/>
        <v>0</v>
      </c>
      <c r="H536" s="42"/>
      <c r="I536" s="42"/>
      <c r="J536" s="538"/>
      <c r="K536" s="42">
        <v>0</v>
      </c>
      <c r="L536" s="280" t="s">
        <v>79</v>
      </c>
      <c r="M536" s="329"/>
      <c r="N536" s="325"/>
    </row>
    <row r="537" spans="1:14" ht="24.75" customHeight="1" thickBot="1">
      <c r="A537" s="711"/>
      <c r="B537" s="713" t="s">
        <v>225</v>
      </c>
      <c r="C537" s="56"/>
      <c r="D537" s="127">
        <v>2017</v>
      </c>
      <c r="E537" s="209">
        <f t="shared" si="75"/>
        <v>26434.284</v>
      </c>
      <c r="F537" s="168">
        <f>G537+H537</f>
        <v>0</v>
      </c>
      <c r="G537" s="210">
        <f>H537+I537</f>
        <v>0</v>
      </c>
      <c r="H537" s="211">
        <f>H279+H280</f>
        <v>0</v>
      </c>
      <c r="I537" s="211">
        <f>I279+I280</f>
        <v>0</v>
      </c>
      <c r="J537" s="568">
        <f>J279+J280</f>
        <v>26434.284</v>
      </c>
      <c r="K537" s="209">
        <v>0</v>
      </c>
      <c r="L537" s="316"/>
      <c r="M537" s="246"/>
      <c r="N537" s="241"/>
    </row>
    <row r="538" spans="1:14" ht="24.75" customHeight="1" thickBot="1">
      <c r="A538" s="711"/>
      <c r="B538" s="713"/>
      <c r="C538" s="56"/>
      <c r="D538" s="57">
        <v>2018</v>
      </c>
      <c r="E538" s="39">
        <f t="shared" si="75"/>
        <v>29674.233</v>
      </c>
      <c r="F538" s="156">
        <f>G538+H538</f>
        <v>0</v>
      </c>
      <c r="G538" s="156">
        <f>H538+I538</f>
        <v>0</v>
      </c>
      <c r="H538" s="157">
        <f>H281</f>
        <v>0</v>
      </c>
      <c r="I538" s="157">
        <f>I281</f>
        <v>0</v>
      </c>
      <c r="J538" s="538">
        <f>J281+J438</f>
        <v>29674.233</v>
      </c>
      <c r="K538" s="157">
        <v>0</v>
      </c>
      <c r="L538" s="309"/>
      <c r="M538" s="246"/>
      <c r="N538" s="241"/>
    </row>
    <row r="539" spans="1:14" ht="24.75" customHeight="1" thickBot="1">
      <c r="A539" s="711"/>
      <c r="B539" s="713"/>
      <c r="C539" s="56"/>
      <c r="D539" s="57">
        <v>2019</v>
      </c>
      <c r="E539" s="39">
        <f aca="true" t="shared" si="76" ref="E539:K539">E297+E446+E464+E479</f>
        <v>27583.2734</v>
      </c>
      <c r="F539" s="39">
        <f t="shared" si="76"/>
        <v>0</v>
      </c>
      <c r="G539" s="39">
        <f t="shared" si="76"/>
        <v>1436</v>
      </c>
      <c r="H539" s="39">
        <f t="shared" si="76"/>
        <v>0</v>
      </c>
      <c r="I539" s="39">
        <f t="shared" si="76"/>
        <v>1436</v>
      </c>
      <c r="J539" s="538">
        <f t="shared" si="76"/>
        <v>26147.2734</v>
      </c>
      <c r="K539" s="39">
        <f t="shared" si="76"/>
        <v>0</v>
      </c>
      <c r="L539" s="309"/>
      <c r="M539" s="246"/>
      <c r="N539" s="241"/>
    </row>
    <row r="540" spans="1:14" ht="24.75" customHeight="1" thickBot="1">
      <c r="A540" s="711"/>
      <c r="B540" s="713"/>
      <c r="C540" s="56"/>
      <c r="D540" s="57">
        <v>2020</v>
      </c>
      <c r="E540" s="39">
        <f aca="true" t="shared" si="77" ref="E540:J540">E312+E428+E449+E465+E482+E521</f>
        <v>18121.27489</v>
      </c>
      <c r="F540" s="39">
        <f t="shared" si="77"/>
        <v>0</v>
      </c>
      <c r="G540" s="39">
        <f t="shared" si="77"/>
        <v>1533</v>
      </c>
      <c r="H540" s="39">
        <f t="shared" si="77"/>
        <v>0</v>
      </c>
      <c r="I540" s="39">
        <f t="shared" si="77"/>
        <v>1533</v>
      </c>
      <c r="J540" s="538">
        <f t="shared" si="77"/>
        <v>16588.27489</v>
      </c>
      <c r="K540" s="39">
        <f>K312+K428+K449+K465+K482</f>
        <v>0</v>
      </c>
      <c r="L540" s="309"/>
      <c r="M540" s="246"/>
      <c r="N540" s="241"/>
    </row>
    <row r="541" spans="1:14" ht="24.75" customHeight="1" thickBot="1">
      <c r="A541" s="711"/>
      <c r="B541" s="713"/>
      <c r="C541" s="56"/>
      <c r="D541" s="57">
        <v>2021</v>
      </c>
      <c r="E541" s="39">
        <f aca="true" t="shared" si="78" ref="E541:K541">E322+E429+E453+E466+E483+E525</f>
        <v>16563.09093</v>
      </c>
      <c r="F541" s="39">
        <f t="shared" si="78"/>
        <v>0</v>
      </c>
      <c r="G541" s="39">
        <f t="shared" si="78"/>
        <v>0</v>
      </c>
      <c r="H541" s="39">
        <f t="shared" si="78"/>
        <v>0</v>
      </c>
      <c r="I541" s="39">
        <f t="shared" si="78"/>
        <v>0</v>
      </c>
      <c r="J541" s="538">
        <f t="shared" si="78"/>
        <v>16563.09093</v>
      </c>
      <c r="K541" s="39">
        <f t="shared" si="78"/>
        <v>0</v>
      </c>
      <c r="L541" s="309"/>
      <c r="M541" s="246"/>
      <c r="N541" s="241"/>
    </row>
    <row r="542" spans="1:14" ht="24.75" customHeight="1" thickBot="1">
      <c r="A542" s="711"/>
      <c r="B542" s="713"/>
      <c r="C542" s="56"/>
      <c r="D542" s="57">
        <v>2022</v>
      </c>
      <c r="E542" s="39">
        <f aca="true" t="shared" si="79" ref="E542:J542">E371+E430+E467+E484+E531+E530+E529</f>
        <v>14919.81073</v>
      </c>
      <c r="F542" s="39">
        <f t="shared" si="79"/>
        <v>0</v>
      </c>
      <c r="G542" s="39">
        <f t="shared" si="79"/>
        <v>1645</v>
      </c>
      <c r="H542" s="39">
        <f t="shared" si="79"/>
        <v>0</v>
      </c>
      <c r="I542" s="39">
        <f t="shared" si="79"/>
        <v>1645</v>
      </c>
      <c r="J542" s="39">
        <f t="shared" si="79"/>
        <v>13274.81073</v>
      </c>
      <c r="K542" s="39">
        <f>K371+K430+K467+K484+K531</f>
        <v>0</v>
      </c>
      <c r="L542" s="39"/>
      <c r="M542" s="246"/>
      <c r="N542" s="241"/>
    </row>
    <row r="543" spans="1:14" ht="24.75" customHeight="1" thickBot="1">
      <c r="A543" s="711"/>
      <c r="B543" s="713"/>
      <c r="C543" s="56"/>
      <c r="D543" s="58">
        <v>2023</v>
      </c>
      <c r="E543" s="39">
        <f aca="true" t="shared" si="80" ref="E543:K543">E410+E468+E485+E532+E533</f>
        <v>24876.62</v>
      </c>
      <c r="F543" s="39">
        <f t="shared" si="80"/>
        <v>0</v>
      </c>
      <c r="G543" s="39">
        <f t="shared" si="80"/>
        <v>1648</v>
      </c>
      <c r="H543" s="39">
        <f t="shared" si="80"/>
        <v>0</v>
      </c>
      <c r="I543" s="39">
        <f t="shared" si="80"/>
        <v>1648</v>
      </c>
      <c r="J543" s="538">
        <f t="shared" si="80"/>
        <v>23228.62</v>
      </c>
      <c r="K543" s="39">
        <f t="shared" si="80"/>
        <v>0</v>
      </c>
      <c r="L543" s="586"/>
      <c r="M543" s="246"/>
      <c r="N543" s="241"/>
    </row>
    <row r="544" spans="1:14" ht="24.75" customHeight="1">
      <c r="A544" s="712"/>
      <c r="B544" s="714"/>
      <c r="C544" s="56"/>
      <c r="D544" s="58">
        <v>2024</v>
      </c>
      <c r="E544" s="44">
        <f aca="true" t="shared" si="81" ref="E544:K544">E416+E486+E534+E535</f>
        <v>15031</v>
      </c>
      <c r="F544" s="44">
        <f t="shared" si="81"/>
        <v>0</v>
      </c>
      <c r="G544" s="44">
        <f t="shared" si="81"/>
        <v>1648</v>
      </c>
      <c r="H544" s="44">
        <f t="shared" si="81"/>
        <v>0</v>
      </c>
      <c r="I544" s="44">
        <f t="shared" si="81"/>
        <v>1648</v>
      </c>
      <c r="J544" s="552">
        <f t="shared" si="81"/>
        <v>13383</v>
      </c>
      <c r="K544" s="44">
        <f t="shared" si="81"/>
        <v>0</v>
      </c>
      <c r="L544" s="587"/>
      <c r="M544" s="415"/>
      <c r="N544" s="588"/>
    </row>
    <row r="545" spans="1:14" s="597" customFormat="1" ht="24.75" customHeight="1">
      <c r="A545" s="589"/>
      <c r="B545" s="590"/>
      <c r="C545" s="591"/>
      <c r="D545" s="592">
        <v>2025</v>
      </c>
      <c r="E545" s="593">
        <f aca="true" t="shared" si="82" ref="E545:K545">E422+E487</f>
        <v>13247.57</v>
      </c>
      <c r="F545" s="593">
        <f t="shared" si="82"/>
        <v>0</v>
      </c>
      <c r="G545" s="593">
        <f t="shared" si="82"/>
        <v>0</v>
      </c>
      <c r="H545" s="593">
        <f t="shared" si="82"/>
        <v>0</v>
      </c>
      <c r="I545" s="593">
        <f t="shared" si="82"/>
        <v>0</v>
      </c>
      <c r="J545" s="594">
        <f t="shared" si="82"/>
        <v>13247.57</v>
      </c>
      <c r="K545" s="593">
        <f t="shared" si="82"/>
        <v>0</v>
      </c>
      <c r="L545" s="595"/>
      <c r="M545" s="246"/>
      <c r="N545" s="596"/>
    </row>
    <row r="546" spans="1:14" ht="27" customHeight="1">
      <c r="A546" s="698" t="s">
        <v>226</v>
      </c>
      <c r="B546" s="698"/>
      <c r="C546" s="698"/>
      <c r="D546" s="698"/>
      <c r="E546" s="59"/>
      <c r="F546" s="59"/>
      <c r="G546" s="59"/>
      <c r="H546" s="59"/>
      <c r="I546" s="59"/>
      <c r="J546" s="569"/>
      <c r="K546" s="59"/>
      <c r="L546" s="59"/>
      <c r="M546" s="420"/>
      <c r="N546" s="421"/>
    </row>
    <row r="547" spans="1:14" ht="29.25" customHeight="1" thickBot="1">
      <c r="A547" s="60" t="s">
        <v>227</v>
      </c>
      <c r="B547" s="61"/>
      <c r="C547" s="62"/>
      <c r="D547" s="62"/>
      <c r="E547" s="62"/>
      <c r="F547" s="62"/>
      <c r="G547" s="62"/>
      <c r="H547" s="62"/>
      <c r="I547" s="62"/>
      <c r="J547" s="570"/>
      <c r="K547" s="62"/>
      <c r="L547" s="338"/>
      <c r="M547" s="339"/>
      <c r="N547" s="340"/>
    </row>
    <row r="548" spans="1:14" ht="27" customHeight="1" thickBot="1">
      <c r="A548" s="60" t="s">
        <v>228</v>
      </c>
      <c r="B548" s="63"/>
      <c r="C548" s="62"/>
      <c r="D548" s="62"/>
      <c r="E548" s="62"/>
      <c r="F548" s="62"/>
      <c r="G548" s="62"/>
      <c r="H548" s="62"/>
      <c r="I548" s="62"/>
      <c r="J548" s="570"/>
      <c r="K548" s="341"/>
      <c r="L548" s="152"/>
      <c r="M548" s="246"/>
      <c r="N548" s="241"/>
    </row>
    <row r="549" spans="1:14" ht="49.5" customHeight="1" thickBot="1">
      <c r="A549" s="699" t="s">
        <v>229</v>
      </c>
      <c r="B549" s="700" t="s">
        <v>230</v>
      </c>
      <c r="C549" s="173"/>
      <c r="D549" s="4">
        <v>2017</v>
      </c>
      <c r="E549" s="12">
        <f>F549+G549+J549+K549</f>
        <v>200580.416</v>
      </c>
      <c r="F549" s="12">
        <f>F550+F551+F552+F554+F555+F556+F557</f>
        <v>124615.2</v>
      </c>
      <c r="G549" s="212">
        <f>H549+I549</f>
        <v>727</v>
      </c>
      <c r="H549" s="212">
        <f>H550+H551+H552+H554+H555+H556+H557</f>
        <v>0</v>
      </c>
      <c r="I549" s="212">
        <f>I550+I551+I552+I554+I555+I556+I557</f>
        <v>727</v>
      </c>
      <c r="J549" s="532">
        <f>J550+J551+J552+J554+J555+J556+J557</f>
        <v>75238.216</v>
      </c>
      <c r="K549" s="212">
        <f>K550+K551+K552+K554+K555+K556+K557</f>
        <v>0</v>
      </c>
      <c r="L549" s="152"/>
      <c r="M549" s="701" t="s">
        <v>231</v>
      </c>
      <c r="N549" s="241"/>
    </row>
    <row r="550" spans="1:14" ht="27" customHeight="1">
      <c r="A550" s="699"/>
      <c r="B550" s="700"/>
      <c r="C550" s="173"/>
      <c r="D550" s="213"/>
      <c r="E550" s="12">
        <f>F550+G550+J550+K550</f>
        <v>64776.86</v>
      </c>
      <c r="F550" s="105">
        <v>54731.8</v>
      </c>
      <c r="G550" s="214">
        <f>H550+I550</f>
        <v>0</v>
      </c>
      <c r="H550" s="105"/>
      <c r="I550" s="105"/>
      <c r="J550" s="533">
        <v>10045.06</v>
      </c>
      <c r="K550" s="215">
        <v>0</v>
      </c>
      <c r="L550" s="304" t="s">
        <v>232</v>
      </c>
      <c r="M550" s="701"/>
      <c r="N550" s="241"/>
    </row>
    <row r="551" spans="1:14" ht="27" customHeight="1">
      <c r="A551" s="699"/>
      <c r="B551" s="216"/>
      <c r="C551" s="217"/>
      <c r="D551" s="6"/>
      <c r="E551" s="12">
        <f>F551+G551+J551+K551</f>
        <v>20018.813</v>
      </c>
      <c r="F551" s="105"/>
      <c r="G551" s="214">
        <f>H551+I551</f>
        <v>0</v>
      </c>
      <c r="H551" s="105"/>
      <c r="I551" s="105"/>
      <c r="J551" s="533">
        <v>20018.813</v>
      </c>
      <c r="K551" s="215">
        <v>0</v>
      </c>
      <c r="L551" s="304" t="s">
        <v>233</v>
      </c>
      <c r="M551" s="701"/>
      <c r="N551" s="241"/>
    </row>
    <row r="552" spans="1:14" ht="27" customHeight="1">
      <c r="A552" s="699"/>
      <c r="B552" s="218"/>
      <c r="C552" s="173"/>
      <c r="D552" s="6"/>
      <c r="E552" s="12">
        <f>F552+G552+J552+K552</f>
        <v>13226.366</v>
      </c>
      <c r="F552" s="105"/>
      <c r="G552" s="214">
        <f>H552+I552</f>
        <v>0</v>
      </c>
      <c r="H552" s="105"/>
      <c r="I552" s="105"/>
      <c r="J552" s="533">
        <v>13226.366</v>
      </c>
      <c r="K552" s="215">
        <v>0</v>
      </c>
      <c r="L552" s="304" t="s">
        <v>234</v>
      </c>
      <c r="M552" s="701"/>
      <c r="N552" s="241"/>
    </row>
    <row r="553" spans="1:14" ht="27" customHeight="1">
      <c r="A553" s="699"/>
      <c r="B553" s="173"/>
      <c r="C553" s="173"/>
      <c r="D553" s="6"/>
      <c r="E553" s="12"/>
      <c r="F553" s="105"/>
      <c r="G553" s="214"/>
      <c r="H553" s="105"/>
      <c r="I553" s="105"/>
      <c r="J553" s="533"/>
      <c r="K553" s="215"/>
      <c r="L553" s="304"/>
      <c r="M553" s="701"/>
      <c r="N553" s="241"/>
    </row>
    <row r="554" spans="1:14" ht="27" customHeight="1">
      <c r="A554" s="699"/>
      <c r="B554" s="173"/>
      <c r="C554" s="173"/>
      <c r="D554" s="6"/>
      <c r="E554" s="12">
        <f aca="true" t="shared" si="83" ref="E554:E606">F554+G554+J554+K554</f>
        <v>77631.458</v>
      </c>
      <c r="F554" s="105">
        <v>69883.4</v>
      </c>
      <c r="G554" s="214">
        <f>H554+I554</f>
        <v>0</v>
      </c>
      <c r="H554" s="105"/>
      <c r="I554" s="105"/>
      <c r="J554" s="533">
        <v>7748.058</v>
      </c>
      <c r="K554" s="215">
        <v>0</v>
      </c>
      <c r="L554" s="304" t="s">
        <v>77</v>
      </c>
      <c r="M554" s="701"/>
      <c r="N554" s="241"/>
    </row>
    <row r="555" spans="1:14" ht="29.25" customHeight="1">
      <c r="A555" s="699"/>
      <c r="B555" s="173"/>
      <c r="C555" s="173"/>
      <c r="D555" s="6"/>
      <c r="E555" s="12">
        <f t="shared" si="83"/>
        <v>8225.922</v>
      </c>
      <c r="F555" s="13"/>
      <c r="G555" s="214">
        <f>H555+I555</f>
        <v>0</v>
      </c>
      <c r="H555" s="105"/>
      <c r="I555" s="105"/>
      <c r="J555" s="533">
        <v>8225.922</v>
      </c>
      <c r="K555" s="215">
        <v>0</v>
      </c>
      <c r="L555" s="304" t="s">
        <v>79</v>
      </c>
      <c r="M555" s="701"/>
      <c r="N555" s="241"/>
    </row>
    <row r="556" spans="1:14" ht="32.25" customHeight="1">
      <c r="A556" s="699"/>
      <c r="B556" s="173"/>
      <c r="C556" s="173"/>
      <c r="D556" s="6"/>
      <c r="E556" s="12">
        <f t="shared" si="83"/>
        <v>11386.085</v>
      </c>
      <c r="F556" s="13"/>
      <c r="G556" s="214">
        <f>H556+I556</f>
        <v>0</v>
      </c>
      <c r="H556" s="105"/>
      <c r="I556" s="105"/>
      <c r="J556" s="533">
        <v>11386.085</v>
      </c>
      <c r="K556" s="215">
        <v>0</v>
      </c>
      <c r="L556" s="304" t="s">
        <v>300</v>
      </c>
      <c r="M556" s="701"/>
      <c r="N556" s="241"/>
    </row>
    <row r="557" spans="1:14" ht="54" customHeight="1">
      <c r="A557" s="699"/>
      <c r="B557" s="173"/>
      <c r="C557" s="173"/>
      <c r="D557" s="6"/>
      <c r="E557" s="12">
        <f t="shared" si="83"/>
        <v>5314.912</v>
      </c>
      <c r="F557" s="13"/>
      <c r="G557" s="214">
        <f>H557+I557</f>
        <v>727</v>
      </c>
      <c r="H557" s="105">
        <v>0</v>
      </c>
      <c r="I557" s="105">
        <v>727</v>
      </c>
      <c r="J557" s="533">
        <f>5287.912-700</f>
        <v>4587.912</v>
      </c>
      <c r="K557" s="215">
        <v>0</v>
      </c>
      <c r="L557" s="304" t="s">
        <v>317</v>
      </c>
      <c r="M557" s="701"/>
      <c r="N557" s="241"/>
    </row>
    <row r="558" spans="1:14" ht="75" customHeight="1" thickBot="1">
      <c r="A558" s="699"/>
      <c r="B558" s="173"/>
      <c r="C558" s="173"/>
      <c r="D558" s="6">
        <v>2017</v>
      </c>
      <c r="E558" s="12">
        <f t="shared" si="83"/>
        <v>16200</v>
      </c>
      <c r="F558" s="65"/>
      <c r="G558" s="65">
        <f>H558+I558</f>
        <v>0</v>
      </c>
      <c r="H558" s="65">
        <v>0</v>
      </c>
      <c r="I558" s="65">
        <v>0</v>
      </c>
      <c r="J558" s="533">
        <v>16200</v>
      </c>
      <c r="K558" s="65">
        <v>0</v>
      </c>
      <c r="L558" s="304" t="s">
        <v>314</v>
      </c>
      <c r="M558" s="701"/>
      <c r="N558" s="241"/>
    </row>
    <row r="559" spans="1:14" ht="27" customHeight="1" hidden="1">
      <c r="A559" s="20"/>
      <c r="B559" s="173"/>
      <c r="C559" s="219"/>
      <c r="D559" s="6"/>
      <c r="E559" s="12">
        <f t="shared" si="83"/>
        <v>0</v>
      </c>
      <c r="F559" s="65"/>
      <c r="G559" s="65"/>
      <c r="H559" s="65"/>
      <c r="I559" s="65"/>
      <c r="J559" s="533"/>
      <c r="K559" s="105"/>
      <c r="L559" s="229"/>
      <c r="M559" s="701"/>
      <c r="N559" s="241"/>
    </row>
    <row r="560" spans="1:14" ht="24.75" customHeight="1" thickBot="1">
      <c r="A560" s="702" t="s">
        <v>235</v>
      </c>
      <c r="B560" s="703" t="s">
        <v>236</v>
      </c>
      <c r="C560" s="220"/>
      <c r="D560" s="704">
        <v>2018</v>
      </c>
      <c r="E560" s="12">
        <f t="shared" si="83"/>
        <v>209116.99978</v>
      </c>
      <c r="F560" s="12">
        <f>SUM(F561:F567)</f>
        <v>137344.5</v>
      </c>
      <c r="G560" s="12">
        <f aca="true" t="shared" si="84" ref="G560:G567">H560+I560</f>
        <v>1006.9820000000001</v>
      </c>
      <c r="H560" s="12">
        <f>H561+H562+H563+H564+H565+H566+H567</f>
        <v>0</v>
      </c>
      <c r="I560" s="12">
        <f>SUM(I561:I567)</f>
        <v>1006.9820000000001</v>
      </c>
      <c r="J560" s="532">
        <f>J561+J562+J563+J564+J565+J566+J567</f>
        <v>70765.51778000001</v>
      </c>
      <c r="K560" s="65">
        <v>0</v>
      </c>
      <c r="L560" s="229"/>
      <c r="M560" s="701"/>
      <c r="N560" s="241"/>
    </row>
    <row r="561" spans="1:14" ht="24.75" customHeight="1" thickBot="1">
      <c r="A561" s="702"/>
      <c r="B561" s="703"/>
      <c r="C561" s="220"/>
      <c r="D561" s="704"/>
      <c r="E561" s="12">
        <f t="shared" si="83"/>
        <v>23993.106</v>
      </c>
      <c r="F561" s="13">
        <f>13666.243+401.723+232.4</f>
        <v>14300.366</v>
      </c>
      <c r="G561" s="12">
        <f t="shared" si="84"/>
        <v>0</v>
      </c>
      <c r="H561" s="13"/>
      <c r="I561" s="221"/>
      <c r="J561" s="532">
        <f>9852.084+390.21-2100+341.676+175.77+33+1000</f>
        <v>9692.74</v>
      </c>
      <c r="K561" s="105">
        <v>0</v>
      </c>
      <c r="L561" s="304" t="s">
        <v>232</v>
      </c>
      <c r="M561" s="701"/>
      <c r="N561" s="241"/>
    </row>
    <row r="562" spans="1:14" ht="24.75" customHeight="1" thickBot="1">
      <c r="A562" s="702"/>
      <c r="B562" s="703"/>
      <c r="C562" s="220"/>
      <c r="D562" s="704"/>
      <c r="E562" s="12">
        <f t="shared" si="83"/>
        <v>50093.08377</v>
      </c>
      <c r="F562" s="13">
        <f>29992.565+858.854</f>
        <v>30851.418999999998</v>
      </c>
      <c r="G562" s="12">
        <f t="shared" si="84"/>
        <v>0</v>
      </c>
      <c r="H562" s="13"/>
      <c r="I562" s="221"/>
      <c r="J562" s="532">
        <f>20130.966+919.02-4300+766.8+389.718+170+1165.16077</f>
        <v>19241.66477</v>
      </c>
      <c r="K562" s="105">
        <v>0</v>
      </c>
      <c r="L562" s="304" t="s">
        <v>233</v>
      </c>
      <c r="M562" s="701"/>
      <c r="N562" s="241"/>
    </row>
    <row r="563" spans="1:14" ht="24.75" customHeight="1" thickBot="1">
      <c r="A563" s="702"/>
      <c r="B563" s="703"/>
      <c r="C563" s="220"/>
      <c r="D563" s="704"/>
      <c r="E563" s="12">
        <f t="shared" si="83"/>
        <v>28049.476</v>
      </c>
      <c r="F563" s="13">
        <f>14985.192+401.723</f>
        <v>15386.914999999999</v>
      </c>
      <c r="G563" s="12">
        <f t="shared" si="84"/>
        <v>0</v>
      </c>
      <c r="H563" s="13"/>
      <c r="I563" s="221"/>
      <c r="J563" s="532">
        <f>13529.638+429.793-2900+367.83+195.3+40+1000</f>
        <v>12662.561</v>
      </c>
      <c r="K563" s="105">
        <v>0</v>
      </c>
      <c r="L563" s="304" t="s">
        <v>234</v>
      </c>
      <c r="M563" s="701"/>
      <c r="N563" s="241"/>
    </row>
    <row r="564" spans="1:14" ht="24.75" customHeight="1" thickBot="1">
      <c r="A564" s="702"/>
      <c r="B564" s="703"/>
      <c r="C564" s="220"/>
      <c r="D564" s="704"/>
      <c r="E564" s="12">
        <f t="shared" si="83"/>
        <v>42507.873999999996</v>
      </c>
      <c r="F564" s="13">
        <f>30680.494+2764.647+1578.681</f>
        <v>35023.82199999999</v>
      </c>
      <c r="G564" s="12">
        <f t="shared" si="84"/>
        <v>0</v>
      </c>
      <c r="H564" s="13"/>
      <c r="I564" s="221"/>
      <c r="J564" s="532">
        <f>8048.81-1700+345.242-210+1000</f>
        <v>7484.052000000001</v>
      </c>
      <c r="K564" s="105">
        <v>0</v>
      </c>
      <c r="L564" s="304" t="s">
        <v>77</v>
      </c>
      <c r="M564" s="701"/>
      <c r="N564" s="241"/>
    </row>
    <row r="565" spans="1:14" ht="24.75" customHeight="1" thickBot="1">
      <c r="A565" s="702"/>
      <c r="B565" s="703"/>
      <c r="C565" s="220"/>
      <c r="D565" s="704"/>
      <c r="E565" s="12">
        <f t="shared" si="83"/>
        <v>50010.63799999999</v>
      </c>
      <c r="F565" s="13">
        <f>39719.506+177.753+1884.719</f>
        <v>41781.977999999996</v>
      </c>
      <c r="G565" s="12">
        <f t="shared" si="84"/>
        <v>0</v>
      </c>
      <c r="H565" s="13"/>
      <c r="I565" s="221"/>
      <c r="J565" s="532">
        <f>8631.55-1800+397.11+1000</f>
        <v>8228.66</v>
      </c>
      <c r="K565" s="105">
        <v>0</v>
      </c>
      <c r="L565" s="304" t="s">
        <v>79</v>
      </c>
      <c r="M565" s="701"/>
      <c r="N565" s="241"/>
    </row>
    <row r="566" spans="1:14" ht="24.75" customHeight="1" thickBot="1">
      <c r="A566" s="702"/>
      <c r="B566" s="703"/>
      <c r="C566" s="220"/>
      <c r="D566" s="704"/>
      <c r="E566" s="12">
        <f t="shared" si="83"/>
        <v>9699.46648</v>
      </c>
      <c r="F566" s="12"/>
      <c r="G566" s="12">
        <f t="shared" si="84"/>
        <v>1006.9820000000001</v>
      </c>
      <c r="H566" s="13">
        <v>0</v>
      </c>
      <c r="I566" s="13">
        <f>607.273+227.345+172.364</f>
        <v>1006.9820000000001</v>
      </c>
      <c r="J566" s="532">
        <f>10509.141+105.556-2200-617.733+133+762.52048</f>
        <v>8692.48448</v>
      </c>
      <c r="K566" s="105">
        <v>0</v>
      </c>
      <c r="L566" s="304" t="s">
        <v>300</v>
      </c>
      <c r="M566" s="701"/>
      <c r="N566" s="241"/>
    </row>
    <row r="567" spans="1:14" ht="35.25" customHeight="1" thickBot="1">
      <c r="A567" s="702"/>
      <c r="B567" s="703"/>
      <c r="C567" s="220"/>
      <c r="D567" s="704"/>
      <c r="E567" s="12">
        <f t="shared" si="83"/>
        <v>4763.355530000001</v>
      </c>
      <c r="F567" s="12"/>
      <c r="G567" s="12">
        <f t="shared" si="84"/>
        <v>0</v>
      </c>
      <c r="H567" s="13"/>
      <c r="I567" s="13">
        <v>0</v>
      </c>
      <c r="J567" s="532">
        <f>4700.622+104.16-92.24918+50.82271</f>
        <v>4763.355530000001</v>
      </c>
      <c r="K567" s="105">
        <v>0</v>
      </c>
      <c r="L567" s="304" t="s">
        <v>316</v>
      </c>
      <c r="M567" s="701"/>
      <c r="N567" s="241"/>
    </row>
    <row r="568" spans="1:14" ht="24.75" customHeight="1" thickBot="1">
      <c r="A568" s="702"/>
      <c r="B568" s="703"/>
      <c r="C568" s="220"/>
      <c r="D568" s="704">
        <v>2018</v>
      </c>
      <c r="E568" s="12">
        <f t="shared" si="83"/>
        <v>0</v>
      </c>
      <c r="F568" s="12">
        <f>SUM(F569:F573)</f>
        <v>0</v>
      </c>
      <c r="G568" s="12">
        <f>SUM(G569:G573)</f>
        <v>0</v>
      </c>
      <c r="H568" s="12">
        <f>SUM(H569:H573)</f>
        <v>0</v>
      </c>
      <c r="I568" s="12">
        <f>SUM(I569:I573)</f>
        <v>0</v>
      </c>
      <c r="J568" s="532">
        <f>SUM(J569:J573)</f>
        <v>0</v>
      </c>
      <c r="K568" s="65"/>
      <c r="L568" s="317"/>
      <c r="M568" s="701"/>
      <c r="N568" s="241"/>
    </row>
    <row r="569" spans="1:14" ht="24.75" customHeight="1" thickBot="1">
      <c r="A569" s="702"/>
      <c r="B569" s="703"/>
      <c r="C569" s="220"/>
      <c r="D569" s="704"/>
      <c r="E569" s="12">
        <f t="shared" si="83"/>
        <v>0</v>
      </c>
      <c r="F569" s="112"/>
      <c r="G569" s="12">
        <f aca="true" t="shared" si="85" ref="G569:G583">H569+I569</f>
        <v>0</v>
      </c>
      <c r="H569" s="13"/>
      <c r="I569" s="13"/>
      <c r="J569" s="532">
        <v>0</v>
      </c>
      <c r="K569" s="105"/>
      <c r="L569" s="304" t="s">
        <v>232</v>
      </c>
      <c r="M569" s="701"/>
      <c r="N569" s="241"/>
    </row>
    <row r="570" spans="1:14" ht="24.75" customHeight="1" thickBot="1">
      <c r="A570" s="702"/>
      <c r="B570" s="703"/>
      <c r="C570" s="220"/>
      <c r="D570" s="704"/>
      <c r="E570" s="12">
        <f t="shared" si="83"/>
        <v>0</v>
      </c>
      <c r="F570" s="112"/>
      <c r="G570" s="12">
        <f t="shared" si="85"/>
        <v>0</v>
      </c>
      <c r="H570" s="13"/>
      <c r="I570" s="13"/>
      <c r="J570" s="532">
        <v>0</v>
      </c>
      <c r="K570" s="105"/>
      <c r="L570" s="304" t="s">
        <v>233</v>
      </c>
      <c r="M570" s="701"/>
      <c r="N570" s="241"/>
    </row>
    <row r="571" spans="1:14" ht="24.75" customHeight="1" thickBot="1">
      <c r="A571" s="702"/>
      <c r="B571" s="703"/>
      <c r="C571" s="220"/>
      <c r="D571" s="704"/>
      <c r="E571" s="12">
        <f t="shared" si="83"/>
        <v>0</v>
      </c>
      <c r="F571" s="112"/>
      <c r="G571" s="12">
        <f t="shared" si="85"/>
        <v>0</v>
      </c>
      <c r="H571" s="13"/>
      <c r="I571" s="13"/>
      <c r="J571" s="532">
        <v>0</v>
      </c>
      <c r="K571" s="105"/>
      <c r="L571" s="304" t="s">
        <v>234</v>
      </c>
      <c r="M571" s="701"/>
      <c r="N571" s="241"/>
    </row>
    <row r="572" spans="1:14" ht="24.75" customHeight="1" thickBot="1">
      <c r="A572" s="702"/>
      <c r="B572" s="703"/>
      <c r="C572" s="220"/>
      <c r="D572" s="704"/>
      <c r="E572" s="12">
        <f t="shared" si="83"/>
        <v>0</v>
      </c>
      <c r="F572" s="112"/>
      <c r="G572" s="12">
        <f t="shared" si="85"/>
        <v>0</v>
      </c>
      <c r="H572" s="13"/>
      <c r="I572" s="13"/>
      <c r="J572" s="532">
        <v>0</v>
      </c>
      <c r="K572" s="105"/>
      <c r="L572" s="304" t="s">
        <v>77</v>
      </c>
      <c r="M572" s="701"/>
      <c r="N572" s="241"/>
    </row>
    <row r="573" spans="1:14" ht="24.75" customHeight="1" thickBot="1">
      <c r="A573" s="702"/>
      <c r="B573" s="703"/>
      <c r="C573" s="220"/>
      <c r="D573" s="704"/>
      <c r="E573" s="30">
        <f t="shared" si="83"/>
        <v>0</v>
      </c>
      <c r="F573" s="113"/>
      <c r="G573" s="30">
        <f t="shared" si="85"/>
        <v>0</v>
      </c>
      <c r="H573" s="31"/>
      <c r="I573" s="31"/>
      <c r="J573" s="549">
        <v>0</v>
      </c>
      <c r="K573" s="121"/>
      <c r="L573" s="318" t="s">
        <v>79</v>
      </c>
      <c r="M573" s="701"/>
      <c r="N573" s="241"/>
    </row>
    <row r="574" spans="1:14" ht="24.75" customHeight="1" thickBot="1">
      <c r="A574" s="702"/>
      <c r="B574" s="703"/>
      <c r="C574" s="220"/>
      <c r="D574" s="705">
        <v>2019</v>
      </c>
      <c r="E574" s="117">
        <f t="shared" si="83"/>
        <v>229770.53044</v>
      </c>
      <c r="F574" s="32">
        <f>SUM(F575:F583)</f>
        <v>150533.8</v>
      </c>
      <c r="G574" s="32">
        <f t="shared" si="85"/>
        <v>1276.052</v>
      </c>
      <c r="H574" s="32">
        <f>H575+H576+H577+H578+H579+H581+H583</f>
        <v>0</v>
      </c>
      <c r="I574" s="32">
        <f>I575+I576+I577+I578+I579+I581+I583</f>
        <v>1276.052</v>
      </c>
      <c r="J574" s="542">
        <f>SUM(J575:J583)</f>
        <v>77960.67844000002</v>
      </c>
      <c r="K574" s="32">
        <f>SUM(K575:K583)</f>
        <v>0</v>
      </c>
      <c r="L574" s="319"/>
      <c r="M574" s="701"/>
      <c r="N574" s="241"/>
    </row>
    <row r="575" spans="1:14" ht="24.75" customHeight="1" thickBot="1">
      <c r="A575" s="702"/>
      <c r="B575" s="703"/>
      <c r="C575" s="220"/>
      <c r="D575" s="705"/>
      <c r="E575" s="119">
        <f t="shared" si="83"/>
        <v>24241.684</v>
      </c>
      <c r="F575" s="119">
        <f>13252.661+1120.6</f>
        <v>14373.261</v>
      </c>
      <c r="G575" s="119">
        <f t="shared" si="85"/>
        <v>0</v>
      </c>
      <c r="H575" s="119"/>
      <c r="I575" s="119"/>
      <c r="J575" s="543">
        <f>9770.96256+1.65244--30+65.808</f>
        <v>9868.423</v>
      </c>
      <c r="K575" s="119">
        <v>0</v>
      </c>
      <c r="L575" s="320" t="s">
        <v>232</v>
      </c>
      <c r="M575" s="701"/>
      <c r="N575" s="241"/>
    </row>
    <row r="576" spans="1:14" ht="24.75" customHeight="1" thickBot="1">
      <c r="A576" s="702"/>
      <c r="B576" s="703"/>
      <c r="C576" s="220"/>
      <c r="D576" s="705"/>
      <c r="E576" s="105">
        <f t="shared" si="83"/>
        <v>49871.14725</v>
      </c>
      <c r="F576" s="105">
        <f>29522.977-533.6</f>
        <v>28989.377</v>
      </c>
      <c r="G576" s="105">
        <f t="shared" si="85"/>
        <v>0</v>
      </c>
      <c r="H576" s="105"/>
      <c r="I576" s="105"/>
      <c r="J576" s="533">
        <f>20596.83525-30+314.935</f>
        <v>20881.77025</v>
      </c>
      <c r="K576" s="105">
        <v>0</v>
      </c>
      <c r="L576" s="304" t="s">
        <v>233</v>
      </c>
      <c r="M576" s="701"/>
      <c r="N576" s="241"/>
    </row>
    <row r="577" spans="1:14" ht="24.75" customHeight="1" thickBot="1">
      <c r="A577" s="702"/>
      <c r="B577" s="703"/>
      <c r="C577" s="220"/>
      <c r="D577" s="705"/>
      <c r="E577" s="105">
        <f t="shared" si="83"/>
        <v>29872.57956</v>
      </c>
      <c r="F577" s="105">
        <f>15424.362+117.4</f>
        <v>15541.761999999999</v>
      </c>
      <c r="G577" s="105">
        <f t="shared" si="85"/>
        <v>0</v>
      </c>
      <c r="H577" s="105"/>
      <c r="I577" s="105"/>
      <c r="J577" s="533">
        <f>12530.84+998.142-1.65244+803.488</f>
        <v>14330.81756</v>
      </c>
      <c r="K577" s="105">
        <v>0</v>
      </c>
      <c r="L577" s="304" t="s">
        <v>234</v>
      </c>
      <c r="M577" s="701"/>
      <c r="N577" s="241"/>
    </row>
    <row r="578" spans="1:14" ht="24.75" customHeight="1" thickBot="1">
      <c r="A578" s="702"/>
      <c r="B578" s="703"/>
      <c r="C578" s="220"/>
      <c r="D578" s="705"/>
      <c r="E578" s="105">
        <f t="shared" si="83"/>
        <v>49171.80562000001</v>
      </c>
      <c r="F578" s="105">
        <f>39746.014+486.427+1812.116</f>
        <v>42044.55700000001</v>
      </c>
      <c r="G578" s="105">
        <f t="shared" si="85"/>
        <v>0</v>
      </c>
      <c r="H578" s="105"/>
      <c r="I578" s="105"/>
      <c r="J578" s="533">
        <f>6993.76062+133.488</f>
        <v>7127.24862</v>
      </c>
      <c r="K578" s="105">
        <v>0</v>
      </c>
      <c r="L578" s="304" t="s">
        <v>77</v>
      </c>
      <c r="M578" s="701"/>
      <c r="N578" s="241"/>
    </row>
    <row r="579" spans="1:14" ht="24.75" customHeight="1" thickBot="1">
      <c r="A579" s="702"/>
      <c r="B579" s="703"/>
      <c r="C579" s="220"/>
      <c r="D579" s="705"/>
      <c r="E579" s="105">
        <f t="shared" si="83"/>
        <v>57432.95017</v>
      </c>
      <c r="F579" s="105">
        <f>46911.986+528.073+2144.784</f>
        <v>49584.84299999999</v>
      </c>
      <c r="G579" s="105">
        <f t="shared" si="85"/>
        <v>0</v>
      </c>
      <c r="H579" s="105"/>
      <c r="I579" s="105"/>
      <c r="J579" s="533">
        <f>7595.99717+252.11</f>
        <v>7848.107169999999</v>
      </c>
      <c r="K579" s="105">
        <v>0</v>
      </c>
      <c r="L579" s="304" t="s">
        <v>79</v>
      </c>
      <c r="M579" s="701"/>
      <c r="N579" s="241"/>
    </row>
    <row r="580" spans="1:14" ht="41.25" customHeight="1" thickBot="1">
      <c r="A580" s="702"/>
      <c r="B580" s="703"/>
      <c r="C580" s="220"/>
      <c r="D580" s="705"/>
      <c r="E580" s="105">
        <f t="shared" si="83"/>
        <v>5966.100090000001</v>
      </c>
      <c r="F580" s="105">
        <v>0</v>
      </c>
      <c r="G580" s="105">
        <f t="shared" si="85"/>
        <v>0</v>
      </c>
      <c r="H580" s="105"/>
      <c r="I580" s="105"/>
      <c r="J580" s="533">
        <f>4712.3+667.168+264.33597+127.27612+136.43+58.59</f>
        <v>5966.100090000001</v>
      </c>
      <c r="K580" s="105">
        <v>0</v>
      </c>
      <c r="L580" s="229" t="s">
        <v>315</v>
      </c>
      <c r="M580" s="701"/>
      <c r="N580" s="241"/>
    </row>
    <row r="581" spans="1:14" ht="45" customHeight="1" thickBot="1">
      <c r="A581" s="702"/>
      <c r="B581" s="703"/>
      <c r="C581" s="220"/>
      <c r="D581" s="705"/>
      <c r="E581" s="105">
        <f t="shared" si="83"/>
        <v>5395.09146</v>
      </c>
      <c r="F581" s="105">
        <v>0</v>
      </c>
      <c r="G581" s="105">
        <f t="shared" si="85"/>
        <v>0</v>
      </c>
      <c r="H581" s="105"/>
      <c r="I581" s="105"/>
      <c r="J581" s="533">
        <f>5746.63146-351.54</f>
        <v>5395.09146</v>
      </c>
      <c r="K581" s="105">
        <v>0</v>
      </c>
      <c r="L581" s="229" t="s">
        <v>318</v>
      </c>
      <c r="M581" s="701"/>
      <c r="N581" s="241"/>
    </row>
    <row r="582" spans="1:14" ht="53.25" customHeight="1" thickBot="1">
      <c r="A582" s="702"/>
      <c r="B582" s="703"/>
      <c r="C582" s="220"/>
      <c r="D582" s="705"/>
      <c r="E582" s="105">
        <f t="shared" si="83"/>
        <v>59.5</v>
      </c>
      <c r="F582" s="105">
        <v>0</v>
      </c>
      <c r="G582" s="105">
        <f t="shared" si="85"/>
        <v>0</v>
      </c>
      <c r="H582" s="105"/>
      <c r="I582" s="105"/>
      <c r="J582" s="533">
        <v>59.5</v>
      </c>
      <c r="K582" s="105">
        <v>0</v>
      </c>
      <c r="L582" s="229" t="s">
        <v>319</v>
      </c>
      <c r="M582" s="701"/>
      <c r="N582" s="241"/>
    </row>
    <row r="583" spans="1:14" ht="46.5" customHeight="1" thickBot="1">
      <c r="A583" s="702"/>
      <c r="B583" s="703"/>
      <c r="C583" s="222"/>
      <c r="D583" s="705"/>
      <c r="E583" s="121">
        <f t="shared" si="83"/>
        <v>7759.672289999999</v>
      </c>
      <c r="F583" s="121">
        <v>0</v>
      </c>
      <c r="G583" s="121">
        <f t="shared" si="85"/>
        <v>1276.052</v>
      </c>
      <c r="H583" s="121"/>
      <c r="I583" s="121">
        <f>1139.636+136.416</f>
        <v>1276.052</v>
      </c>
      <c r="J583" s="545">
        <f>5849.69929-59.5+585.9+107.521</f>
        <v>6483.620289999999</v>
      </c>
      <c r="K583" s="121">
        <v>0</v>
      </c>
      <c r="L583" s="37" t="s">
        <v>237</v>
      </c>
      <c r="M583" s="701"/>
      <c r="N583" s="241"/>
    </row>
    <row r="584" spans="1:14" ht="27" customHeight="1" thickBot="1">
      <c r="A584" s="702"/>
      <c r="B584" s="703"/>
      <c r="C584" s="222"/>
      <c r="D584" s="706">
        <v>2020</v>
      </c>
      <c r="E584" s="117">
        <f t="shared" si="83"/>
        <v>235602.07301</v>
      </c>
      <c r="F584" s="32">
        <f aca="true" t="shared" si="86" ref="F584:K584">SUM(F585:F593)</f>
        <v>151107</v>
      </c>
      <c r="G584" s="32">
        <f t="shared" si="86"/>
        <v>1271</v>
      </c>
      <c r="H584" s="32">
        <f t="shared" si="86"/>
        <v>0</v>
      </c>
      <c r="I584" s="32">
        <f t="shared" si="86"/>
        <v>1271</v>
      </c>
      <c r="J584" s="542">
        <f t="shared" si="86"/>
        <v>83224.07301000001</v>
      </c>
      <c r="K584" s="32">
        <f t="shared" si="86"/>
        <v>0</v>
      </c>
      <c r="L584" s="321"/>
      <c r="M584" s="701"/>
      <c r="N584" s="241"/>
    </row>
    <row r="585" spans="1:14" ht="33.75" customHeight="1" thickBot="1">
      <c r="A585" s="702"/>
      <c r="B585" s="703"/>
      <c r="C585" s="222"/>
      <c r="D585" s="706"/>
      <c r="E585" s="119">
        <f t="shared" si="83"/>
        <v>24429.962</v>
      </c>
      <c r="F585" s="119">
        <f>14700-1292.529</f>
        <v>13407.471</v>
      </c>
      <c r="G585" s="119">
        <f aca="true" t="shared" si="87" ref="G585:G590">H585+I585</f>
        <v>0</v>
      </c>
      <c r="H585" s="119"/>
      <c r="I585" s="119"/>
      <c r="J585" s="535">
        <f>10684.932+359.399-21.84</f>
        <v>11022.491</v>
      </c>
      <c r="K585" s="119">
        <v>0</v>
      </c>
      <c r="L585" s="122" t="s">
        <v>238</v>
      </c>
      <c r="M585" s="701"/>
      <c r="N585" s="241"/>
    </row>
    <row r="586" spans="1:14" ht="39.75" customHeight="1" thickBot="1">
      <c r="A586" s="702"/>
      <c r="B586" s="703"/>
      <c r="C586" s="222"/>
      <c r="D586" s="706"/>
      <c r="E586" s="105">
        <f t="shared" si="83"/>
        <v>52751.153000000006</v>
      </c>
      <c r="F586" s="105">
        <f>30246-286.376</f>
        <v>29959.624</v>
      </c>
      <c r="G586" s="105">
        <f t="shared" si="87"/>
        <v>0</v>
      </c>
      <c r="H586" s="105"/>
      <c r="I586" s="105"/>
      <c r="J586" s="532">
        <f>21928.883+791.842+200-129.196</f>
        <v>22791.529000000002</v>
      </c>
      <c r="K586" s="105">
        <v>0</v>
      </c>
      <c r="L586" s="141" t="s">
        <v>239</v>
      </c>
      <c r="M586" s="701"/>
      <c r="N586" s="241"/>
    </row>
    <row r="587" spans="1:14" ht="33" customHeight="1" thickBot="1">
      <c r="A587" s="702"/>
      <c r="B587" s="703"/>
      <c r="C587" s="222"/>
      <c r="D587" s="706"/>
      <c r="E587" s="105">
        <f t="shared" si="83"/>
        <v>29488.001</v>
      </c>
      <c r="F587" s="105">
        <f>16200-1075.066</f>
        <v>15124.934</v>
      </c>
      <c r="G587" s="105">
        <f t="shared" si="87"/>
        <v>0</v>
      </c>
      <c r="H587" s="105"/>
      <c r="I587" s="105"/>
      <c r="J587" s="532">
        <f>14792.02+385.475-814.428</f>
        <v>14363.067000000001</v>
      </c>
      <c r="K587" s="105">
        <v>0</v>
      </c>
      <c r="L587" s="141" t="s">
        <v>240</v>
      </c>
      <c r="M587" s="701"/>
      <c r="N587" s="241"/>
    </row>
    <row r="588" spans="1:14" ht="27.75" customHeight="1" thickBot="1">
      <c r="A588" s="702"/>
      <c r="B588" s="703"/>
      <c r="C588" s="222"/>
      <c r="D588" s="706"/>
      <c r="E588" s="105">
        <f t="shared" si="83"/>
        <v>52028.272</v>
      </c>
      <c r="F588" s="105">
        <f>40601+2420.539+901.952</f>
        <v>43923.490999999995</v>
      </c>
      <c r="G588" s="105">
        <f t="shared" si="87"/>
        <v>0</v>
      </c>
      <c r="H588" s="105"/>
      <c r="I588" s="105"/>
      <c r="J588" s="532">
        <f>7875.425+81.356+148</f>
        <v>8104.781</v>
      </c>
      <c r="K588" s="105">
        <v>0</v>
      </c>
      <c r="L588" s="141" t="s">
        <v>77</v>
      </c>
      <c r="M588" s="701"/>
      <c r="N588" s="241"/>
    </row>
    <row r="589" spans="1:14" ht="27" customHeight="1" thickBot="1">
      <c r="A589" s="702"/>
      <c r="B589" s="703"/>
      <c r="C589" s="222"/>
      <c r="D589" s="706"/>
      <c r="E589" s="105">
        <f t="shared" si="83"/>
        <v>56928.04151</v>
      </c>
      <c r="F589" s="105">
        <f>47860+233.432+598.048</f>
        <v>48691.48</v>
      </c>
      <c r="G589" s="105">
        <f t="shared" si="87"/>
        <v>0</v>
      </c>
      <c r="H589" s="105"/>
      <c r="I589" s="105"/>
      <c r="J589" s="532">
        <f>8506.19+110.34-379.96849</f>
        <v>8236.561510000001</v>
      </c>
      <c r="K589" s="105">
        <v>0</v>
      </c>
      <c r="L589" s="141" t="s">
        <v>79</v>
      </c>
      <c r="M589" s="701"/>
      <c r="N589" s="241"/>
    </row>
    <row r="590" spans="1:14" ht="45" customHeight="1" thickBot="1">
      <c r="A590" s="702"/>
      <c r="B590" s="703"/>
      <c r="C590" s="222"/>
      <c r="D590" s="706"/>
      <c r="E590" s="105">
        <f t="shared" si="83"/>
        <v>6761.31</v>
      </c>
      <c r="F590" s="105">
        <v>0</v>
      </c>
      <c r="G590" s="105">
        <f t="shared" si="87"/>
        <v>0</v>
      </c>
      <c r="H590" s="105"/>
      <c r="I590" s="105"/>
      <c r="J590" s="532">
        <f>5710.81+1050.5</f>
        <v>6761.31</v>
      </c>
      <c r="K590" s="105">
        <v>0</v>
      </c>
      <c r="L590" s="141" t="s">
        <v>320</v>
      </c>
      <c r="M590" s="701"/>
      <c r="N590" s="241"/>
    </row>
    <row r="591" spans="1:14" ht="40.5" customHeight="1" thickBot="1">
      <c r="A591" s="702"/>
      <c r="B591" s="703"/>
      <c r="C591" s="222"/>
      <c r="D591" s="706"/>
      <c r="E591" s="105">
        <f t="shared" si="83"/>
        <v>5709.542</v>
      </c>
      <c r="F591" s="105">
        <v>0</v>
      </c>
      <c r="G591" s="105">
        <v>0</v>
      </c>
      <c r="H591" s="105"/>
      <c r="I591" s="105"/>
      <c r="J591" s="532">
        <v>5709.542</v>
      </c>
      <c r="K591" s="105"/>
      <c r="L591" s="141" t="s">
        <v>321</v>
      </c>
      <c r="M591" s="701"/>
      <c r="N591" s="241"/>
    </row>
    <row r="592" spans="1:14" ht="45.75" customHeight="1" thickBot="1">
      <c r="A592" s="702"/>
      <c r="B592" s="703"/>
      <c r="C592" s="222"/>
      <c r="D592" s="706"/>
      <c r="E592" s="105">
        <f t="shared" si="83"/>
        <v>1460.973</v>
      </c>
      <c r="F592" s="105">
        <v>0</v>
      </c>
      <c r="G592" s="121">
        <f aca="true" t="shared" si="88" ref="G592:G606">H592+I592</f>
        <v>1271</v>
      </c>
      <c r="H592" s="105"/>
      <c r="I592" s="105">
        <v>1271</v>
      </c>
      <c r="J592" s="532">
        <f>190-0.127+0.1</f>
        <v>189.97299999999998</v>
      </c>
      <c r="K592" s="105"/>
      <c r="L592" s="141" t="s">
        <v>322</v>
      </c>
      <c r="M592" s="701"/>
      <c r="N592" s="241"/>
    </row>
    <row r="593" spans="1:14" ht="50.25" customHeight="1" thickBot="1">
      <c r="A593" s="702"/>
      <c r="B593" s="703"/>
      <c r="C593" s="222"/>
      <c r="D593" s="706"/>
      <c r="E593" s="121">
        <f t="shared" si="83"/>
        <v>6044.8185</v>
      </c>
      <c r="F593" s="121">
        <v>0</v>
      </c>
      <c r="G593" s="121">
        <f t="shared" si="88"/>
        <v>0</v>
      </c>
      <c r="H593" s="121"/>
      <c r="I593" s="121">
        <v>0</v>
      </c>
      <c r="J593" s="549">
        <f>6405.021-360.3295+0.127</f>
        <v>6044.8185</v>
      </c>
      <c r="K593" s="121">
        <v>0</v>
      </c>
      <c r="L593" s="164" t="s">
        <v>323</v>
      </c>
      <c r="M593" s="701"/>
      <c r="N593" s="241"/>
    </row>
    <row r="594" spans="1:14" ht="27" customHeight="1" thickBot="1">
      <c r="A594" s="702"/>
      <c r="B594" s="703"/>
      <c r="C594" s="222"/>
      <c r="D594" s="72">
        <v>2021</v>
      </c>
      <c r="E594" s="32">
        <f t="shared" si="83"/>
        <v>240354.62797</v>
      </c>
      <c r="F594" s="32">
        <f>SUM(F595:F606)</f>
        <v>157115</v>
      </c>
      <c r="G594" s="32">
        <f t="shared" si="88"/>
        <v>2020.82</v>
      </c>
      <c r="H594" s="32">
        <f>SUM(H595:H606)</f>
        <v>0</v>
      </c>
      <c r="I594" s="32">
        <f>SUM(I595:I606)</f>
        <v>2020.82</v>
      </c>
      <c r="J594" s="542">
        <f>SUM(J595:J606)</f>
        <v>81218.80797</v>
      </c>
      <c r="K594" s="32">
        <f>SUM(K595:K606)</f>
        <v>0</v>
      </c>
      <c r="L594" s="321"/>
      <c r="M594" s="701"/>
      <c r="N594" s="241"/>
    </row>
    <row r="595" spans="1:14" ht="46.5" customHeight="1" thickBot="1">
      <c r="A595" s="702"/>
      <c r="B595" s="703"/>
      <c r="C595" s="222"/>
      <c r="D595" s="342"/>
      <c r="E595" s="118">
        <f t="shared" si="83"/>
        <v>18789.461</v>
      </c>
      <c r="F595" s="119">
        <f>13489.795+941.205</f>
        <v>14431</v>
      </c>
      <c r="G595" s="119">
        <f t="shared" si="88"/>
        <v>0</v>
      </c>
      <c r="H595" s="119"/>
      <c r="I595" s="119"/>
      <c r="J595" s="543">
        <v>4358.461</v>
      </c>
      <c r="K595" s="119">
        <v>0</v>
      </c>
      <c r="L595" s="122" t="s">
        <v>324</v>
      </c>
      <c r="M595" s="701"/>
      <c r="N595" s="241"/>
    </row>
    <row r="596" spans="1:14" ht="53.25" customHeight="1" thickBot="1">
      <c r="A596" s="702"/>
      <c r="B596" s="703"/>
      <c r="C596" s="222"/>
      <c r="D596" s="342"/>
      <c r="E596" s="118">
        <f t="shared" si="83"/>
        <v>6929.08202</v>
      </c>
      <c r="F596" s="119"/>
      <c r="G596" s="119">
        <f t="shared" si="88"/>
        <v>0</v>
      </c>
      <c r="H596" s="119"/>
      <c r="I596" s="119"/>
      <c r="J596" s="543">
        <v>6929.08202</v>
      </c>
      <c r="K596" s="119">
        <v>0</v>
      </c>
      <c r="L596" s="122" t="s">
        <v>326</v>
      </c>
      <c r="M596" s="701"/>
      <c r="N596" s="241"/>
    </row>
    <row r="597" spans="1:14" ht="46.5" customHeight="1" thickBot="1">
      <c r="A597" s="702"/>
      <c r="B597" s="703"/>
      <c r="C597" s="222"/>
      <c r="D597" s="57"/>
      <c r="E597" s="65">
        <f t="shared" si="83"/>
        <v>36955.33117</v>
      </c>
      <c r="F597" s="105">
        <f>28778.975+1856.883</f>
        <v>30635.858</v>
      </c>
      <c r="G597" s="105">
        <f t="shared" si="88"/>
        <v>0</v>
      </c>
      <c r="H597" s="105"/>
      <c r="I597" s="105"/>
      <c r="J597" s="533">
        <f>6319.47317</f>
        <v>6319.47317</v>
      </c>
      <c r="K597" s="105">
        <v>0</v>
      </c>
      <c r="L597" s="122" t="s">
        <v>325</v>
      </c>
      <c r="M597" s="701"/>
      <c r="N597" s="241"/>
    </row>
    <row r="598" spans="1:14" ht="46.5" customHeight="1" thickBot="1">
      <c r="A598" s="702"/>
      <c r="B598" s="703"/>
      <c r="C598" s="222"/>
      <c r="D598" s="57"/>
      <c r="E598" s="65">
        <f t="shared" si="83"/>
        <v>14706.12309</v>
      </c>
      <c r="F598" s="105"/>
      <c r="G598" s="105">
        <f t="shared" si="88"/>
        <v>0</v>
      </c>
      <c r="H598" s="105"/>
      <c r="I598" s="105"/>
      <c r="J598" s="533">
        <v>14706.12309</v>
      </c>
      <c r="K598" s="105">
        <v>0</v>
      </c>
      <c r="L598" s="122" t="s">
        <v>327</v>
      </c>
      <c r="M598" s="701"/>
      <c r="N598" s="241"/>
    </row>
    <row r="599" spans="1:14" ht="40.5" customHeight="1" thickBot="1">
      <c r="A599" s="702"/>
      <c r="B599" s="703"/>
      <c r="C599" s="222"/>
      <c r="D599" s="57"/>
      <c r="E599" s="65">
        <f t="shared" si="83"/>
        <v>22442.943</v>
      </c>
      <c r="F599" s="105">
        <f>14843.739+873.053</f>
        <v>15716.792</v>
      </c>
      <c r="G599" s="105">
        <f t="shared" si="88"/>
        <v>0</v>
      </c>
      <c r="H599" s="105"/>
      <c r="I599" s="105"/>
      <c r="J599" s="533">
        <v>6726.151</v>
      </c>
      <c r="K599" s="105">
        <v>0</v>
      </c>
      <c r="L599" s="122" t="s">
        <v>328</v>
      </c>
      <c r="M599" s="701"/>
      <c r="N599" s="241"/>
    </row>
    <row r="600" spans="1:14" ht="44.25" customHeight="1" thickBot="1">
      <c r="A600" s="702"/>
      <c r="B600" s="703"/>
      <c r="C600" s="222"/>
      <c r="D600" s="57"/>
      <c r="E600" s="65">
        <f t="shared" si="83"/>
        <v>7261.42499</v>
      </c>
      <c r="F600" s="105"/>
      <c r="G600" s="105">
        <f t="shared" si="88"/>
        <v>0</v>
      </c>
      <c r="H600" s="105"/>
      <c r="I600" s="105"/>
      <c r="J600" s="533">
        <v>7261.42499</v>
      </c>
      <c r="K600" s="105">
        <v>0</v>
      </c>
      <c r="L600" s="122" t="s">
        <v>329</v>
      </c>
      <c r="M600" s="701"/>
      <c r="N600" s="241"/>
    </row>
    <row r="601" spans="1:14" ht="27" customHeight="1" thickBot="1">
      <c r="A601" s="702"/>
      <c r="B601" s="703"/>
      <c r="C601" s="222"/>
      <c r="D601" s="57"/>
      <c r="E601" s="65">
        <f t="shared" si="83"/>
        <v>54099.38432</v>
      </c>
      <c r="F601" s="105">
        <f>43363.554+2969.256</f>
        <v>46332.81</v>
      </c>
      <c r="G601" s="105">
        <f t="shared" si="88"/>
        <v>0</v>
      </c>
      <c r="H601" s="105"/>
      <c r="I601" s="105"/>
      <c r="J601" s="533">
        <v>7766.57432</v>
      </c>
      <c r="K601" s="105">
        <v>0</v>
      </c>
      <c r="L601" s="141" t="s">
        <v>77</v>
      </c>
      <c r="M601" s="701"/>
      <c r="N601" s="241"/>
    </row>
    <row r="602" spans="1:14" ht="27" customHeight="1" thickBot="1">
      <c r="A602" s="702"/>
      <c r="B602" s="703"/>
      <c r="C602" s="222"/>
      <c r="D602" s="57"/>
      <c r="E602" s="65">
        <f t="shared" si="83"/>
        <v>59314.28239000001</v>
      </c>
      <c r="F602" s="105">
        <f>46932.581+3065.959</f>
        <v>49998.54</v>
      </c>
      <c r="G602" s="105">
        <f t="shared" si="88"/>
        <v>114.3</v>
      </c>
      <c r="H602" s="105"/>
      <c r="I602" s="105">
        <v>114.3</v>
      </c>
      <c r="J602" s="533">
        <v>9201.44239</v>
      </c>
      <c r="K602" s="105">
        <v>0</v>
      </c>
      <c r="L602" s="141" t="s">
        <v>79</v>
      </c>
      <c r="M602" s="701"/>
      <c r="N602" s="241"/>
    </row>
    <row r="603" spans="1:14" ht="46.5" customHeight="1" thickBot="1">
      <c r="A603" s="702"/>
      <c r="B603" s="703"/>
      <c r="C603" s="222"/>
      <c r="D603" s="57"/>
      <c r="E603" s="65">
        <f t="shared" si="83"/>
        <v>5533.60064</v>
      </c>
      <c r="F603" s="105">
        <v>0</v>
      </c>
      <c r="G603" s="105">
        <f t="shared" si="88"/>
        <v>0</v>
      </c>
      <c r="H603" s="105"/>
      <c r="I603" s="105"/>
      <c r="J603" s="533">
        <v>5533.60064</v>
      </c>
      <c r="K603" s="105">
        <v>0</v>
      </c>
      <c r="L603" s="141" t="s">
        <v>330</v>
      </c>
      <c r="M603" s="701"/>
      <c r="N603" s="241"/>
    </row>
    <row r="604" spans="1:14" ht="55.5" customHeight="1" thickBot="1">
      <c r="A604" s="702"/>
      <c r="B604" s="703"/>
      <c r="C604" s="222"/>
      <c r="D604" s="57"/>
      <c r="E604" s="65">
        <f t="shared" si="83"/>
        <v>6211.79449</v>
      </c>
      <c r="F604" s="105">
        <v>0</v>
      </c>
      <c r="G604" s="105">
        <f t="shared" si="88"/>
        <v>0</v>
      </c>
      <c r="H604" s="105"/>
      <c r="I604" s="105"/>
      <c r="J604" s="533">
        <v>6211.79449</v>
      </c>
      <c r="K604" s="105"/>
      <c r="L604" s="141" t="s">
        <v>321</v>
      </c>
      <c r="M604" s="701"/>
      <c r="N604" s="241"/>
    </row>
    <row r="605" spans="1:14" ht="48.75" customHeight="1" thickBot="1">
      <c r="A605" s="702"/>
      <c r="B605" s="703"/>
      <c r="C605" s="222"/>
      <c r="D605" s="57"/>
      <c r="E605" s="65">
        <f t="shared" si="83"/>
        <v>283.43056</v>
      </c>
      <c r="F605" s="105">
        <v>0</v>
      </c>
      <c r="G605" s="105">
        <f t="shared" si="88"/>
        <v>0</v>
      </c>
      <c r="H605" s="105"/>
      <c r="I605" s="105"/>
      <c r="J605" s="533">
        <v>283.43056</v>
      </c>
      <c r="K605" s="105"/>
      <c r="L605" s="141" t="s">
        <v>331</v>
      </c>
      <c r="M605" s="701"/>
      <c r="N605" s="241"/>
    </row>
    <row r="606" spans="1:14" ht="57" customHeight="1" thickBot="1">
      <c r="A606" s="702"/>
      <c r="B606" s="703"/>
      <c r="C606" s="220"/>
      <c r="D606" s="58"/>
      <c r="E606" s="66">
        <f t="shared" si="83"/>
        <v>7827.7703</v>
      </c>
      <c r="F606" s="121">
        <v>0</v>
      </c>
      <c r="G606" s="121">
        <f t="shared" si="88"/>
        <v>1906.52</v>
      </c>
      <c r="H606" s="121"/>
      <c r="I606" s="121">
        <v>1906.52</v>
      </c>
      <c r="J606" s="545">
        <v>5921.2503</v>
      </c>
      <c r="K606" s="121">
        <v>0</v>
      </c>
      <c r="L606" s="164" t="s">
        <v>323</v>
      </c>
      <c r="M606" s="701"/>
      <c r="N606" s="241"/>
    </row>
    <row r="607" spans="1:14" ht="27.75" customHeight="1" thickBot="1">
      <c r="A607" s="702"/>
      <c r="B607" s="703"/>
      <c r="C607" s="343"/>
      <c r="D607" s="134">
        <v>2022</v>
      </c>
      <c r="E607" s="123">
        <f aca="true" t="shared" si="89" ref="E607:K607">SUM(E608:E619)</f>
        <v>255759.06053</v>
      </c>
      <c r="F607" s="32">
        <f t="shared" si="89"/>
        <v>169477.6</v>
      </c>
      <c r="G607" s="32">
        <f t="shared" si="89"/>
        <v>1798.019</v>
      </c>
      <c r="H607" s="32">
        <f t="shared" si="89"/>
        <v>0</v>
      </c>
      <c r="I607" s="32">
        <f t="shared" si="89"/>
        <v>1798.019</v>
      </c>
      <c r="J607" s="542">
        <f t="shared" si="89"/>
        <v>84483.44152999998</v>
      </c>
      <c r="K607" s="32">
        <f t="shared" si="89"/>
        <v>0</v>
      </c>
      <c r="L607" s="290"/>
      <c r="M607" s="701"/>
      <c r="N607" s="241"/>
    </row>
    <row r="608" spans="1:14" ht="48.75" customHeight="1" thickBot="1">
      <c r="A608" s="702"/>
      <c r="B608" s="703"/>
      <c r="C608" s="344"/>
      <c r="D608" s="345"/>
      <c r="E608" s="124">
        <f aca="true" t="shared" si="90" ref="E608:E645">F608+G608+J608+K608</f>
        <v>18614.644</v>
      </c>
      <c r="F608" s="119">
        <f>13759.112+409.907</f>
        <v>14169.018999999998</v>
      </c>
      <c r="G608" s="119">
        <f aca="true" t="shared" si="91" ref="G608:G619">H608+I608</f>
        <v>0</v>
      </c>
      <c r="H608" s="119"/>
      <c r="I608" s="119"/>
      <c r="J608" s="543">
        <v>4445.625</v>
      </c>
      <c r="K608" s="119">
        <v>0</v>
      </c>
      <c r="L608" s="122" t="s">
        <v>324</v>
      </c>
      <c r="M608" s="701"/>
      <c r="N608" s="241"/>
    </row>
    <row r="609" spans="1:14" ht="42" customHeight="1" thickBot="1">
      <c r="A609" s="702"/>
      <c r="B609" s="703"/>
      <c r="C609" s="344"/>
      <c r="D609" s="345"/>
      <c r="E609" s="124">
        <f t="shared" si="90"/>
        <v>7569.23062</v>
      </c>
      <c r="F609" s="119"/>
      <c r="G609" s="119">
        <f t="shared" si="91"/>
        <v>0</v>
      </c>
      <c r="H609" s="119"/>
      <c r="I609" s="119"/>
      <c r="J609" s="543">
        <v>7569.23062</v>
      </c>
      <c r="K609" s="119"/>
      <c r="L609" s="122" t="s">
        <v>326</v>
      </c>
      <c r="M609" s="701"/>
      <c r="N609" s="241"/>
    </row>
    <row r="610" spans="1:14" ht="48.75" customHeight="1" thickBot="1">
      <c r="A610" s="702"/>
      <c r="B610" s="703"/>
      <c r="C610" s="344"/>
      <c r="D610" s="345"/>
      <c r="E610" s="125">
        <f t="shared" si="90"/>
        <v>39422.007</v>
      </c>
      <c r="F610" s="105">
        <f>31019.302+1068.759</f>
        <v>32088.061</v>
      </c>
      <c r="G610" s="105">
        <f t="shared" si="91"/>
        <v>0</v>
      </c>
      <c r="H610" s="105"/>
      <c r="I610" s="105"/>
      <c r="J610" s="533">
        <v>7333.946</v>
      </c>
      <c r="K610" s="105">
        <v>0</v>
      </c>
      <c r="L610" s="122" t="s">
        <v>325</v>
      </c>
      <c r="M610" s="701"/>
      <c r="N610" s="241"/>
    </row>
    <row r="611" spans="1:14" ht="50.25" customHeight="1" thickBot="1">
      <c r="A611" s="702"/>
      <c r="B611" s="703"/>
      <c r="C611" s="344"/>
      <c r="D611" s="345"/>
      <c r="E611" s="125">
        <f t="shared" si="90"/>
        <v>15895.27534</v>
      </c>
      <c r="F611" s="105"/>
      <c r="G611" s="105">
        <f t="shared" si="91"/>
        <v>0</v>
      </c>
      <c r="H611" s="105"/>
      <c r="I611" s="105"/>
      <c r="J611" s="533">
        <v>15895.27534</v>
      </c>
      <c r="K611" s="105"/>
      <c r="L611" s="122" t="s">
        <v>327</v>
      </c>
      <c r="M611" s="701"/>
      <c r="N611" s="241"/>
    </row>
    <row r="612" spans="1:14" s="347" customFormat="1" ht="44.25" customHeight="1" thickBot="1">
      <c r="A612" s="702"/>
      <c r="B612" s="703"/>
      <c r="C612" s="344"/>
      <c r="D612" s="345"/>
      <c r="E612" s="346">
        <f t="shared" si="90"/>
        <v>24711.368000000002</v>
      </c>
      <c r="F612" s="111">
        <f>16372.08+442.587</f>
        <v>16814.667</v>
      </c>
      <c r="G612" s="111">
        <f t="shared" si="91"/>
        <v>0</v>
      </c>
      <c r="H612" s="111"/>
      <c r="I612" s="111"/>
      <c r="J612" s="533">
        <v>7896.701</v>
      </c>
      <c r="K612" s="111">
        <v>0</v>
      </c>
      <c r="L612" s="122" t="s">
        <v>328</v>
      </c>
      <c r="M612" s="701"/>
      <c r="N612" s="241"/>
    </row>
    <row r="613" spans="1:14" s="347" customFormat="1" ht="44.25" customHeight="1" thickBot="1">
      <c r="A613" s="702"/>
      <c r="B613" s="703"/>
      <c r="C613" s="344"/>
      <c r="D613" s="345"/>
      <c r="E613" s="346">
        <f t="shared" si="90"/>
        <v>7592.24247</v>
      </c>
      <c r="F613" s="111"/>
      <c r="G613" s="111">
        <f t="shared" si="91"/>
        <v>0</v>
      </c>
      <c r="H613" s="111"/>
      <c r="I613" s="111"/>
      <c r="J613" s="533">
        <v>7592.24247</v>
      </c>
      <c r="K613" s="111"/>
      <c r="L613" s="122" t="s">
        <v>329</v>
      </c>
      <c r="M613" s="701"/>
      <c r="N613" s="241"/>
    </row>
    <row r="614" spans="1:14" ht="27" customHeight="1" thickBot="1">
      <c r="A614" s="702"/>
      <c r="B614" s="703"/>
      <c r="C614" s="344"/>
      <c r="D614" s="345"/>
      <c r="E614" s="125">
        <f t="shared" si="90"/>
        <v>59627.65051</v>
      </c>
      <c r="F614" s="105">
        <f>49604.83+2206.52</f>
        <v>51811.35</v>
      </c>
      <c r="G614" s="105">
        <f t="shared" si="91"/>
        <v>0</v>
      </c>
      <c r="H614" s="105"/>
      <c r="I614" s="105"/>
      <c r="J614" s="533">
        <v>7816.30051</v>
      </c>
      <c r="K614" s="105">
        <v>0</v>
      </c>
      <c r="L614" s="141" t="s">
        <v>77</v>
      </c>
      <c r="M614" s="701"/>
      <c r="N614" s="241"/>
    </row>
    <row r="615" spans="1:14" ht="27" customHeight="1" thickBot="1">
      <c r="A615" s="702"/>
      <c r="B615" s="703"/>
      <c r="C615" s="344"/>
      <c r="D615" s="345"/>
      <c r="E615" s="125">
        <f t="shared" si="90"/>
        <v>63308.155</v>
      </c>
      <c r="F615" s="105">
        <v>54594.503</v>
      </c>
      <c r="G615" s="105">
        <f t="shared" si="91"/>
        <v>0</v>
      </c>
      <c r="H615" s="105"/>
      <c r="I615" s="105"/>
      <c r="J615" s="533">
        <v>8713.652</v>
      </c>
      <c r="K615" s="105">
        <v>0</v>
      </c>
      <c r="L615" s="141" t="s">
        <v>79</v>
      </c>
      <c r="M615" s="701"/>
      <c r="N615" s="241"/>
    </row>
    <row r="616" spans="1:14" ht="53.25" customHeight="1" thickBot="1">
      <c r="A616" s="702"/>
      <c r="B616" s="703"/>
      <c r="C616" s="344"/>
      <c r="D616" s="345"/>
      <c r="E616" s="125">
        <f t="shared" si="90"/>
        <v>5327.76991</v>
      </c>
      <c r="F616" s="105"/>
      <c r="G616" s="105">
        <f t="shared" si="91"/>
        <v>0</v>
      </c>
      <c r="H616" s="105"/>
      <c r="I616" s="105"/>
      <c r="J616" s="533">
        <v>5327.76991</v>
      </c>
      <c r="K616" s="105">
        <v>0</v>
      </c>
      <c r="L616" s="141" t="s">
        <v>330</v>
      </c>
      <c r="M616" s="701"/>
      <c r="N616" s="241"/>
    </row>
    <row r="617" spans="1:14" ht="36" customHeight="1" thickBot="1">
      <c r="A617" s="702"/>
      <c r="B617" s="703"/>
      <c r="C617" s="344"/>
      <c r="D617" s="345"/>
      <c r="E617" s="125">
        <f t="shared" si="90"/>
        <v>5466.73254</v>
      </c>
      <c r="F617" s="105"/>
      <c r="G617" s="105">
        <f t="shared" si="91"/>
        <v>0</v>
      </c>
      <c r="H617" s="105"/>
      <c r="I617" s="105"/>
      <c r="J617" s="533">
        <v>5466.73254</v>
      </c>
      <c r="K617" s="105">
        <v>0</v>
      </c>
      <c r="L617" s="141" t="s">
        <v>321</v>
      </c>
      <c r="M617" s="701"/>
      <c r="N617" s="241"/>
    </row>
    <row r="618" spans="1:14" ht="48" customHeight="1" thickBot="1">
      <c r="A618" s="702"/>
      <c r="B618" s="703"/>
      <c r="C618" s="348"/>
      <c r="D618" s="345"/>
      <c r="E618" s="125">
        <f t="shared" si="90"/>
        <v>266.99246</v>
      </c>
      <c r="F618" s="105"/>
      <c r="G618" s="105">
        <f t="shared" si="91"/>
        <v>0</v>
      </c>
      <c r="H618" s="105"/>
      <c r="I618" s="105"/>
      <c r="J618" s="533">
        <v>266.99246</v>
      </c>
      <c r="K618" s="105">
        <v>0</v>
      </c>
      <c r="L618" s="141" t="s">
        <v>331</v>
      </c>
      <c r="M618" s="701"/>
      <c r="N618" s="241"/>
    </row>
    <row r="619" spans="1:14" ht="44.25" customHeight="1" thickBot="1">
      <c r="A619" s="702"/>
      <c r="B619" s="703"/>
      <c r="C619" s="349"/>
      <c r="D619" s="350"/>
      <c r="E619" s="126">
        <f t="shared" si="90"/>
        <v>7956.99268</v>
      </c>
      <c r="F619" s="120"/>
      <c r="G619" s="120">
        <f t="shared" si="91"/>
        <v>1798.019</v>
      </c>
      <c r="H619" s="120"/>
      <c r="I619" s="120">
        <v>1798.019</v>
      </c>
      <c r="J619" s="544">
        <v>6158.97368</v>
      </c>
      <c r="K619" s="120">
        <v>0</v>
      </c>
      <c r="L619" s="143" t="s">
        <v>332</v>
      </c>
      <c r="M619" s="701"/>
      <c r="N619" s="241"/>
    </row>
    <row r="620" spans="1:14" ht="27" customHeight="1" thickBot="1">
      <c r="A620" s="702"/>
      <c r="B620" s="703"/>
      <c r="C620" s="598"/>
      <c r="D620" s="98">
        <v>2023</v>
      </c>
      <c r="E620" s="599">
        <f t="shared" si="90"/>
        <v>263174.405</v>
      </c>
      <c r="F620" s="116">
        <f aca="true" t="shared" si="92" ref="F620:K620">SUM(F621:F632)</f>
        <v>160562</v>
      </c>
      <c r="G620" s="116">
        <f t="shared" si="92"/>
        <v>1710.5</v>
      </c>
      <c r="H620" s="116">
        <f t="shared" si="92"/>
        <v>0</v>
      </c>
      <c r="I620" s="116">
        <f t="shared" si="92"/>
        <v>1710.5</v>
      </c>
      <c r="J620" s="540">
        <f t="shared" si="92"/>
        <v>100901.905</v>
      </c>
      <c r="K620" s="440">
        <f t="shared" si="92"/>
        <v>0</v>
      </c>
      <c r="L620" s="292"/>
      <c r="M620" s="651"/>
      <c r="N620" s="295"/>
    </row>
    <row r="621" spans="1:14" ht="37.5" customHeight="1" thickBot="1">
      <c r="A621" s="702"/>
      <c r="B621" s="703"/>
      <c r="C621" s="222"/>
      <c r="D621" s="342"/>
      <c r="E621" s="118">
        <f>F621+G621+J621+K621</f>
        <v>19109.452</v>
      </c>
      <c r="F621" s="119">
        <f>13598.5+420.5</f>
        <v>14019</v>
      </c>
      <c r="G621" s="119">
        <f aca="true" t="shared" si="93" ref="G621:G632">H621+I621</f>
        <v>0</v>
      </c>
      <c r="H621" s="119"/>
      <c r="I621" s="119"/>
      <c r="J621" s="543">
        <v>5090.452</v>
      </c>
      <c r="K621" s="119">
        <v>0</v>
      </c>
      <c r="L621" s="122" t="s">
        <v>324</v>
      </c>
      <c r="M621" s="651"/>
      <c r="N621" s="295"/>
    </row>
    <row r="622" spans="1:14" ht="48" customHeight="1" thickBot="1">
      <c r="A622" s="702"/>
      <c r="B622" s="703"/>
      <c r="C622" s="222"/>
      <c r="D622" s="342"/>
      <c r="E622" s="118">
        <f t="shared" si="90"/>
        <v>7888.737</v>
      </c>
      <c r="F622" s="119"/>
      <c r="G622" s="119">
        <f t="shared" si="93"/>
        <v>0</v>
      </c>
      <c r="H622" s="119"/>
      <c r="I622" s="119"/>
      <c r="J622" s="543">
        <v>7888.737</v>
      </c>
      <c r="K622" s="119"/>
      <c r="L622" s="122" t="s">
        <v>326</v>
      </c>
      <c r="M622" s="651"/>
      <c r="N622" s="295"/>
    </row>
    <row r="623" spans="1:15" ht="45.75" customHeight="1" thickBot="1">
      <c r="A623" s="702"/>
      <c r="B623" s="703"/>
      <c r="C623" s="222"/>
      <c r="D623" s="57"/>
      <c r="E623" s="118">
        <f t="shared" si="90"/>
        <v>45353.382</v>
      </c>
      <c r="F623" s="105">
        <f>34321.5+1061.5</f>
        <v>35383</v>
      </c>
      <c r="G623" s="119">
        <f t="shared" si="93"/>
        <v>0</v>
      </c>
      <c r="H623" s="105"/>
      <c r="I623" s="105"/>
      <c r="J623" s="533">
        <v>9970.382</v>
      </c>
      <c r="K623" s="105">
        <v>0</v>
      </c>
      <c r="L623" s="122" t="s">
        <v>325</v>
      </c>
      <c r="M623" s="651"/>
      <c r="N623" s="295"/>
      <c r="O623" s="85">
        <f>J621+J622+J623+J624+J625+J626+J627+J628+J629+J630+J631+J632</f>
        <v>100901.905</v>
      </c>
    </row>
    <row r="624" spans="1:14" ht="40.5" customHeight="1" thickBot="1">
      <c r="A624" s="702"/>
      <c r="B624" s="703"/>
      <c r="C624" s="222"/>
      <c r="D624" s="57"/>
      <c r="E624" s="118">
        <f t="shared" si="90"/>
        <v>16482.625</v>
      </c>
      <c r="F624" s="105"/>
      <c r="G624" s="119">
        <f t="shared" si="93"/>
        <v>0</v>
      </c>
      <c r="H624" s="105"/>
      <c r="I624" s="105"/>
      <c r="J624" s="533">
        <v>16482.625</v>
      </c>
      <c r="K624" s="105"/>
      <c r="L624" s="122" t="s">
        <v>327</v>
      </c>
      <c r="M624" s="651"/>
      <c r="N624" s="295"/>
    </row>
    <row r="625" spans="1:14" ht="43.5" customHeight="1" thickBot="1">
      <c r="A625" s="702"/>
      <c r="B625" s="703"/>
      <c r="C625" s="222"/>
      <c r="D625" s="57"/>
      <c r="E625" s="118">
        <f t="shared" si="90"/>
        <v>23807.538</v>
      </c>
      <c r="F625" s="105">
        <f>14083.1+435.5</f>
        <v>14518.6</v>
      </c>
      <c r="G625" s="119">
        <f t="shared" si="93"/>
        <v>0</v>
      </c>
      <c r="H625" s="105"/>
      <c r="I625" s="105"/>
      <c r="J625" s="533">
        <v>9288.938</v>
      </c>
      <c r="K625" s="105">
        <v>0</v>
      </c>
      <c r="L625" s="122" t="s">
        <v>328</v>
      </c>
      <c r="M625" s="651"/>
      <c r="N625" s="295"/>
    </row>
    <row r="626" spans="1:14" ht="46.5" customHeight="1" thickBot="1">
      <c r="A626" s="702"/>
      <c r="B626" s="703"/>
      <c r="C626" s="222"/>
      <c r="D626" s="57"/>
      <c r="E626" s="118">
        <f t="shared" si="90"/>
        <v>8306.496</v>
      </c>
      <c r="F626" s="105"/>
      <c r="G626" s="119">
        <f t="shared" si="93"/>
        <v>0</v>
      </c>
      <c r="H626" s="105"/>
      <c r="I626" s="105"/>
      <c r="J626" s="533">
        <v>8306.496</v>
      </c>
      <c r="K626" s="105"/>
      <c r="L626" s="122" t="s">
        <v>329</v>
      </c>
      <c r="M626" s="651"/>
      <c r="N626" s="295"/>
    </row>
    <row r="627" spans="1:14" ht="27" customHeight="1" thickBot="1">
      <c r="A627" s="702"/>
      <c r="B627" s="703"/>
      <c r="C627" s="222"/>
      <c r="D627" s="57"/>
      <c r="E627" s="65">
        <f t="shared" si="90"/>
        <v>59921.068</v>
      </c>
      <c r="F627" s="105">
        <f>47300.9+1903.7</f>
        <v>49204.6</v>
      </c>
      <c r="G627" s="105">
        <f t="shared" si="93"/>
        <v>0</v>
      </c>
      <c r="H627" s="105"/>
      <c r="I627" s="105"/>
      <c r="J627" s="533">
        <v>10716.468</v>
      </c>
      <c r="K627" s="105">
        <v>0</v>
      </c>
      <c r="L627" s="141" t="s">
        <v>77</v>
      </c>
      <c r="M627" s="651"/>
      <c r="N627" s="295"/>
    </row>
    <row r="628" spans="1:14" ht="27" customHeight="1" thickBot="1">
      <c r="A628" s="702"/>
      <c r="B628" s="703"/>
      <c r="C628" s="222"/>
      <c r="D628" s="57"/>
      <c r="E628" s="65">
        <f t="shared" si="90"/>
        <v>59314.547000000006</v>
      </c>
      <c r="F628" s="105">
        <f>45703.8+1733</f>
        <v>47436.8</v>
      </c>
      <c r="G628" s="105">
        <f t="shared" si="93"/>
        <v>0</v>
      </c>
      <c r="H628" s="105"/>
      <c r="I628" s="105"/>
      <c r="J628" s="533">
        <v>11877.747</v>
      </c>
      <c r="K628" s="105">
        <v>0</v>
      </c>
      <c r="L628" s="141" t="s">
        <v>79</v>
      </c>
      <c r="M628" s="651"/>
      <c r="N628" s="295"/>
    </row>
    <row r="629" spans="1:14" ht="50.25" customHeight="1" thickBot="1">
      <c r="A629" s="702"/>
      <c r="B629" s="703"/>
      <c r="C629" s="222"/>
      <c r="D629" s="57"/>
      <c r="E629" s="65">
        <f t="shared" si="90"/>
        <v>6248.086</v>
      </c>
      <c r="F629" s="105">
        <v>0</v>
      </c>
      <c r="G629" s="105">
        <f t="shared" si="93"/>
        <v>0</v>
      </c>
      <c r="H629" s="105"/>
      <c r="I629" s="105"/>
      <c r="J629" s="533">
        <v>6248.086</v>
      </c>
      <c r="K629" s="105">
        <v>0</v>
      </c>
      <c r="L629" s="141" t="s">
        <v>333</v>
      </c>
      <c r="M629" s="651"/>
      <c r="N629" s="295"/>
    </row>
    <row r="630" spans="1:14" ht="46.5" customHeight="1" thickBot="1">
      <c r="A630" s="702"/>
      <c r="B630" s="703"/>
      <c r="C630" s="222"/>
      <c r="D630" s="57"/>
      <c r="E630" s="65">
        <f t="shared" si="90"/>
        <v>7586.841</v>
      </c>
      <c r="F630" s="105">
        <v>0</v>
      </c>
      <c r="G630" s="105">
        <f t="shared" si="93"/>
        <v>0</v>
      </c>
      <c r="H630" s="105"/>
      <c r="I630" s="105"/>
      <c r="J630" s="533">
        <v>7586.841</v>
      </c>
      <c r="K630" s="105">
        <v>0</v>
      </c>
      <c r="L630" s="141" t="s">
        <v>321</v>
      </c>
      <c r="M630" s="651"/>
      <c r="N630" s="295"/>
    </row>
    <row r="631" spans="1:14" ht="52.5" customHeight="1" thickBot="1">
      <c r="A631" s="702"/>
      <c r="B631" s="703"/>
      <c r="C631" s="220"/>
      <c r="D631" s="58"/>
      <c r="E631" s="66">
        <f t="shared" si="90"/>
        <v>242.8</v>
      </c>
      <c r="F631" s="121">
        <v>0</v>
      </c>
      <c r="G631" s="121">
        <f t="shared" si="93"/>
        <v>0</v>
      </c>
      <c r="H631" s="121"/>
      <c r="I631" s="121"/>
      <c r="J631" s="600">
        <v>242.8</v>
      </c>
      <c r="K631" s="121">
        <v>0</v>
      </c>
      <c r="L631" s="141" t="s">
        <v>331</v>
      </c>
      <c r="M631" s="651"/>
      <c r="N631" s="295"/>
    </row>
    <row r="632" spans="1:14" ht="52.5" customHeight="1" thickBot="1">
      <c r="A632" s="702"/>
      <c r="B632" s="703"/>
      <c r="C632" s="601"/>
      <c r="D632" s="158"/>
      <c r="E632" s="66">
        <f t="shared" si="90"/>
        <v>8912.832999999999</v>
      </c>
      <c r="F632" s="121">
        <v>0</v>
      </c>
      <c r="G632" s="121">
        <f t="shared" si="93"/>
        <v>1710.5</v>
      </c>
      <c r="H632" s="121"/>
      <c r="I632" s="121">
        <v>1710.5</v>
      </c>
      <c r="J632" s="545">
        <v>7202.333</v>
      </c>
      <c r="K632" s="121">
        <v>0</v>
      </c>
      <c r="L632" s="143" t="s">
        <v>332</v>
      </c>
      <c r="M632" s="651"/>
      <c r="N632" s="295"/>
    </row>
    <row r="633" spans="1:14" ht="27" customHeight="1" thickBot="1">
      <c r="A633" s="692"/>
      <c r="B633" s="693" t="s">
        <v>241</v>
      </c>
      <c r="C633" s="495"/>
      <c r="D633" s="134">
        <v>2024</v>
      </c>
      <c r="E633" s="9">
        <f t="shared" si="90"/>
        <v>262163.498</v>
      </c>
      <c r="F633" s="9">
        <f aca="true" t="shared" si="94" ref="F633:K633">SUM(F634:F645)</f>
        <v>160562</v>
      </c>
      <c r="G633" s="9">
        <f t="shared" si="94"/>
        <v>1710.5</v>
      </c>
      <c r="H633" s="9">
        <f t="shared" si="94"/>
        <v>0</v>
      </c>
      <c r="I633" s="9">
        <f t="shared" si="94"/>
        <v>1710.5</v>
      </c>
      <c r="J633" s="534">
        <f t="shared" si="94"/>
        <v>99890.99800000002</v>
      </c>
      <c r="K633" s="496">
        <f t="shared" si="94"/>
        <v>0</v>
      </c>
      <c r="L633" s="293"/>
      <c r="M633" s="301"/>
      <c r="N633" s="295"/>
    </row>
    <row r="634" spans="1:14" ht="44.25" customHeight="1" thickBot="1">
      <c r="A634" s="692"/>
      <c r="B634" s="693"/>
      <c r="C634" s="351"/>
      <c r="D634" s="6"/>
      <c r="E634" s="118">
        <f t="shared" si="90"/>
        <v>19200.278</v>
      </c>
      <c r="F634" s="119">
        <f>13598.5+420.5</f>
        <v>14019</v>
      </c>
      <c r="G634" s="119">
        <f aca="true" t="shared" si="95" ref="G634:G645">H634+I634</f>
        <v>0</v>
      </c>
      <c r="H634" s="119"/>
      <c r="I634" s="119"/>
      <c r="J634" s="543">
        <v>5181.278</v>
      </c>
      <c r="K634" s="119">
        <v>0</v>
      </c>
      <c r="L634" s="122" t="s">
        <v>324</v>
      </c>
      <c r="M634" s="301"/>
      <c r="N634" s="295"/>
    </row>
    <row r="635" spans="1:14" ht="46.5" customHeight="1" thickBot="1">
      <c r="A635" s="692"/>
      <c r="B635" s="693"/>
      <c r="C635" s="351"/>
      <c r="D635" s="6"/>
      <c r="E635" s="118">
        <f t="shared" si="90"/>
        <v>7888.737</v>
      </c>
      <c r="F635" s="119"/>
      <c r="G635" s="119">
        <f t="shared" si="95"/>
        <v>0</v>
      </c>
      <c r="H635" s="119"/>
      <c r="I635" s="119"/>
      <c r="J635" s="543">
        <v>7888.737</v>
      </c>
      <c r="K635" s="119"/>
      <c r="L635" s="122" t="s">
        <v>326</v>
      </c>
      <c r="M635" s="301"/>
      <c r="N635" s="295"/>
    </row>
    <row r="636" spans="1:14" ht="51" customHeight="1" thickBot="1">
      <c r="A636" s="692"/>
      <c r="B636" s="693"/>
      <c r="C636" s="351"/>
      <c r="D636" s="6"/>
      <c r="E636" s="118">
        <f t="shared" si="90"/>
        <v>45377.69</v>
      </c>
      <c r="F636" s="105">
        <f>34321.5+1061.5</f>
        <v>35383</v>
      </c>
      <c r="G636" s="119">
        <f t="shared" si="95"/>
        <v>0</v>
      </c>
      <c r="H636" s="105"/>
      <c r="I636" s="105"/>
      <c r="J636" s="533">
        <v>9994.69</v>
      </c>
      <c r="K636" s="105">
        <v>0</v>
      </c>
      <c r="L636" s="122" t="s">
        <v>325</v>
      </c>
      <c r="M636" s="301"/>
      <c r="N636" s="295"/>
    </row>
    <row r="637" spans="1:14" ht="50.25" customHeight="1" thickBot="1">
      <c r="A637" s="692"/>
      <c r="B637" s="693"/>
      <c r="C637" s="351"/>
      <c r="D637" s="6"/>
      <c r="E637" s="118">
        <f t="shared" si="90"/>
        <v>16482.625</v>
      </c>
      <c r="F637" s="105"/>
      <c r="G637" s="119">
        <f t="shared" si="95"/>
        <v>0</v>
      </c>
      <c r="H637" s="105"/>
      <c r="I637" s="105"/>
      <c r="J637" s="533">
        <v>16482.625</v>
      </c>
      <c r="K637" s="105"/>
      <c r="L637" s="122" t="s">
        <v>327</v>
      </c>
      <c r="M637" s="301"/>
      <c r="N637" s="295"/>
    </row>
    <row r="638" spans="1:14" ht="46.5" customHeight="1" thickBot="1">
      <c r="A638" s="692"/>
      <c r="B638" s="693"/>
      <c r="C638" s="351"/>
      <c r="D638" s="6"/>
      <c r="E638" s="118">
        <f t="shared" si="90"/>
        <v>23454.215</v>
      </c>
      <c r="F638" s="105">
        <f>14083.1+435.5</f>
        <v>14518.6</v>
      </c>
      <c r="G638" s="119">
        <f t="shared" si="95"/>
        <v>0</v>
      </c>
      <c r="H638" s="105"/>
      <c r="I638" s="105"/>
      <c r="J638" s="533">
        <v>8935.615</v>
      </c>
      <c r="K638" s="105">
        <v>0</v>
      </c>
      <c r="L638" s="122" t="s">
        <v>328</v>
      </c>
      <c r="M638" s="301"/>
      <c r="N638" s="295"/>
    </row>
    <row r="639" spans="1:14" ht="45.75" customHeight="1" thickBot="1">
      <c r="A639" s="692"/>
      <c r="B639" s="693"/>
      <c r="C639" s="351"/>
      <c r="D639" s="6"/>
      <c r="E639" s="118">
        <f t="shared" si="90"/>
        <v>8306.496</v>
      </c>
      <c r="F639" s="105"/>
      <c r="G639" s="119">
        <f t="shared" si="95"/>
        <v>0</v>
      </c>
      <c r="H639" s="105"/>
      <c r="I639" s="105"/>
      <c r="J639" s="533">
        <v>8306.496</v>
      </c>
      <c r="K639" s="105"/>
      <c r="L639" s="122" t="s">
        <v>329</v>
      </c>
      <c r="M639" s="301"/>
      <c r="N639" s="295"/>
    </row>
    <row r="640" spans="1:14" ht="27" customHeight="1" thickBot="1">
      <c r="A640" s="692"/>
      <c r="B640" s="693"/>
      <c r="C640" s="351"/>
      <c r="D640" s="6"/>
      <c r="E640" s="65">
        <f t="shared" si="90"/>
        <v>59404.471</v>
      </c>
      <c r="F640" s="105">
        <f>47300.9+1903.7</f>
        <v>49204.6</v>
      </c>
      <c r="G640" s="105">
        <f t="shared" si="95"/>
        <v>0</v>
      </c>
      <c r="H640" s="105"/>
      <c r="I640" s="105"/>
      <c r="J640" s="533">
        <v>10199.871</v>
      </c>
      <c r="K640" s="105">
        <v>0</v>
      </c>
      <c r="L640" s="141" t="s">
        <v>77</v>
      </c>
      <c r="M640" s="301"/>
      <c r="N640" s="295"/>
    </row>
    <row r="641" spans="1:14" ht="27" customHeight="1" thickBot="1">
      <c r="A641" s="692"/>
      <c r="B641" s="693"/>
      <c r="C641" s="351"/>
      <c r="D641" s="6"/>
      <c r="E641" s="65">
        <f t="shared" si="90"/>
        <v>59479.658</v>
      </c>
      <c r="F641" s="105">
        <f>45703.8+1733</f>
        <v>47436.8</v>
      </c>
      <c r="G641" s="105">
        <f t="shared" si="95"/>
        <v>0</v>
      </c>
      <c r="H641" s="105"/>
      <c r="I641" s="105"/>
      <c r="J641" s="533">
        <v>12042.858</v>
      </c>
      <c r="K641" s="105">
        <v>0</v>
      </c>
      <c r="L641" s="141" t="s">
        <v>79</v>
      </c>
      <c r="M641" s="301"/>
      <c r="N641" s="295"/>
    </row>
    <row r="642" spans="1:14" ht="51" customHeight="1" thickBot="1">
      <c r="A642" s="692"/>
      <c r="B642" s="693"/>
      <c r="C642" s="351"/>
      <c r="D642" s="6"/>
      <c r="E642" s="65">
        <f t="shared" si="90"/>
        <v>5826.854</v>
      </c>
      <c r="F642" s="105">
        <v>0</v>
      </c>
      <c r="G642" s="105">
        <f t="shared" si="95"/>
        <v>0</v>
      </c>
      <c r="H642" s="105"/>
      <c r="I642" s="105"/>
      <c r="J642" s="533">
        <v>5826.854</v>
      </c>
      <c r="K642" s="105">
        <v>0</v>
      </c>
      <c r="L642" s="141" t="s">
        <v>333</v>
      </c>
      <c r="M642" s="301"/>
      <c r="N642" s="295"/>
    </row>
    <row r="643" spans="1:14" ht="53.25" customHeight="1" thickBot="1">
      <c r="A643" s="692"/>
      <c r="B643" s="693"/>
      <c r="C643" s="351"/>
      <c r="D643" s="6"/>
      <c r="E643" s="65">
        <f t="shared" si="90"/>
        <v>7586.841</v>
      </c>
      <c r="F643" s="105">
        <v>0</v>
      </c>
      <c r="G643" s="105">
        <f t="shared" si="95"/>
        <v>0</v>
      </c>
      <c r="H643" s="105"/>
      <c r="I643" s="105"/>
      <c r="J643" s="533">
        <v>7586.841</v>
      </c>
      <c r="K643" s="105">
        <v>0</v>
      </c>
      <c r="L643" s="141" t="s">
        <v>321</v>
      </c>
      <c r="M643" s="301"/>
      <c r="N643" s="295"/>
    </row>
    <row r="644" spans="1:14" ht="45.75" customHeight="1" thickBot="1">
      <c r="A644" s="692"/>
      <c r="B644" s="694"/>
      <c r="C644" s="352"/>
      <c r="D644" s="353"/>
      <c r="E644" s="71">
        <f t="shared" si="90"/>
        <v>242.8</v>
      </c>
      <c r="F644" s="120">
        <v>0</v>
      </c>
      <c r="G644" s="120">
        <f t="shared" si="95"/>
        <v>0</v>
      </c>
      <c r="H644" s="120"/>
      <c r="I644" s="120"/>
      <c r="J644" s="544">
        <v>242.8</v>
      </c>
      <c r="K644" s="120">
        <v>0</v>
      </c>
      <c r="L644" s="141" t="s">
        <v>331</v>
      </c>
      <c r="M644" s="301"/>
      <c r="N644" s="295"/>
    </row>
    <row r="645" spans="1:14" ht="45.75" customHeight="1" thickBot="1">
      <c r="A645" s="861"/>
      <c r="B645" s="416"/>
      <c r="C645" s="864"/>
      <c r="D645" s="354"/>
      <c r="E645" s="336">
        <f t="shared" si="90"/>
        <v>8912.832999999999</v>
      </c>
      <c r="F645" s="233">
        <v>0</v>
      </c>
      <c r="G645" s="233">
        <f t="shared" si="95"/>
        <v>1710.5</v>
      </c>
      <c r="H645" s="233"/>
      <c r="I645" s="233">
        <v>1710.5</v>
      </c>
      <c r="J645" s="602">
        <v>7202.333</v>
      </c>
      <c r="K645" s="233">
        <v>0</v>
      </c>
      <c r="L645" s="143" t="s">
        <v>332</v>
      </c>
      <c r="M645" s="301"/>
      <c r="N645" s="295"/>
    </row>
    <row r="646" spans="1:14" ht="45.75" customHeight="1">
      <c r="A646" s="862"/>
      <c r="B646" s="417"/>
      <c r="C646" s="865"/>
      <c r="D646" s="134">
        <v>2025</v>
      </c>
      <c r="E646" s="9">
        <f aca="true" t="shared" si="96" ref="E646:E658">F646+G646+J646+K646</f>
        <v>263270.752</v>
      </c>
      <c r="F646" s="9">
        <f aca="true" t="shared" si="97" ref="F646:K646">SUM(F647:F658)</f>
        <v>160562</v>
      </c>
      <c r="G646" s="9">
        <f t="shared" si="97"/>
        <v>1710.5</v>
      </c>
      <c r="H646" s="9">
        <f t="shared" si="97"/>
        <v>0</v>
      </c>
      <c r="I646" s="9">
        <f t="shared" si="97"/>
        <v>1710.5</v>
      </c>
      <c r="J646" s="534">
        <f t="shared" si="97"/>
        <v>100998.25200000001</v>
      </c>
      <c r="K646" s="496">
        <f t="shared" si="97"/>
        <v>0</v>
      </c>
      <c r="L646" s="293"/>
      <c r="M646" s="301"/>
      <c r="N646" s="295"/>
    </row>
    <row r="647" spans="1:14" ht="45.75" customHeight="1">
      <c r="A647" s="862"/>
      <c r="B647" s="417"/>
      <c r="C647" s="865"/>
      <c r="D647" s="6"/>
      <c r="E647" s="118">
        <f t="shared" si="96"/>
        <v>19045.674</v>
      </c>
      <c r="F647" s="119">
        <f>13598.5+420.5</f>
        <v>14019</v>
      </c>
      <c r="G647" s="119">
        <f aca="true" t="shared" si="98" ref="G647:G658">H647+I647</f>
        <v>0</v>
      </c>
      <c r="H647" s="119"/>
      <c r="I647" s="119"/>
      <c r="J647" s="543">
        <v>5026.674</v>
      </c>
      <c r="K647" s="119">
        <v>0</v>
      </c>
      <c r="L647" s="122" t="s">
        <v>324</v>
      </c>
      <c r="M647" s="301"/>
      <c r="N647" s="295"/>
    </row>
    <row r="648" spans="1:14" ht="45.75" customHeight="1">
      <c r="A648" s="862"/>
      <c r="B648" s="417"/>
      <c r="C648" s="865"/>
      <c r="D648" s="6"/>
      <c r="E648" s="118">
        <f t="shared" si="96"/>
        <v>7888.737</v>
      </c>
      <c r="F648" s="119"/>
      <c r="G648" s="119">
        <f t="shared" si="98"/>
        <v>0</v>
      </c>
      <c r="H648" s="119"/>
      <c r="I648" s="119"/>
      <c r="J648" s="543">
        <v>7888.737</v>
      </c>
      <c r="K648" s="119"/>
      <c r="L648" s="122" t="s">
        <v>326</v>
      </c>
      <c r="M648" s="301"/>
      <c r="N648" s="295"/>
    </row>
    <row r="649" spans="1:14" ht="45.75" customHeight="1">
      <c r="A649" s="862"/>
      <c r="B649" s="417"/>
      <c r="C649" s="865"/>
      <c r="D649" s="6"/>
      <c r="E649" s="118">
        <f t="shared" si="96"/>
        <v>46309.64</v>
      </c>
      <c r="F649" s="105">
        <f>34321.5+1061.5</f>
        <v>35383</v>
      </c>
      <c r="G649" s="119">
        <f t="shared" si="98"/>
        <v>0</v>
      </c>
      <c r="H649" s="105"/>
      <c r="I649" s="105"/>
      <c r="J649" s="533">
        <v>10926.64</v>
      </c>
      <c r="K649" s="105">
        <v>0</v>
      </c>
      <c r="L649" s="122" t="s">
        <v>325</v>
      </c>
      <c r="M649" s="301"/>
      <c r="N649" s="295"/>
    </row>
    <row r="650" spans="1:14" ht="45.75" customHeight="1">
      <c r="A650" s="862"/>
      <c r="B650" s="417"/>
      <c r="C650" s="865"/>
      <c r="D650" s="6"/>
      <c r="E650" s="118">
        <f t="shared" si="96"/>
        <v>16482.625</v>
      </c>
      <c r="F650" s="105"/>
      <c r="G650" s="119">
        <f t="shared" si="98"/>
        <v>0</v>
      </c>
      <c r="H650" s="105"/>
      <c r="I650" s="105"/>
      <c r="J650" s="533">
        <v>16482.625</v>
      </c>
      <c r="K650" s="105"/>
      <c r="L650" s="122" t="s">
        <v>327</v>
      </c>
      <c r="M650" s="301"/>
      <c r="N650" s="295"/>
    </row>
    <row r="651" spans="1:14" ht="45.75" customHeight="1">
      <c r="A651" s="862"/>
      <c r="B651" s="417"/>
      <c r="C651" s="865"/>
      <c r="D651" s="6"/>
      <c r="E651" s="118">
        <f t="shared" si="96"/>
        <v>23547.201</v>
      </c>
      <c r="F651" s="105">
        <f>14083.1+435.5</f>
        <v>14518.6</v>
      </c>
      <c r="G651" s="119">
        <f t="shared" si="98"/>
        <v>0</v>
      </c>
      <c r="H651" s="105"/>
      <c r="I651" s="105"/>
      <c r="J651" s="533">
        <v>9028.601</v>
      </c>
      <c r="K651" s="105">
        <v>0</v>
      </c>
      <c r="L651" s="122" t="s">
        <v>328</v>
      </c>
      <c r="M651" s="301"/>
      <c r="N651" s="295"/>
    </row>
    <row r="652" spans="1:14" ht="45.75" customHeight="1">
      <c r="A652" s="862"/>
      <c r="B652" s="417"/>
      <c r="C652" s="865"/>
      <c r="D652" s="6"/>
      <c r="E652" s="118">
        <f t="shared" si="96"/>
        <v>8306.496</v>
      </c>
      <c r="F652" s="105"/>
      <c r="G652" s="119">
        <f t="shared" si="98"/>
        <v>0</v>
      </c>
      <c r="H652" s="105"/>
      <c r="I652" s="105"/>
      <c r="J652" s="533">
        <v>8306.496</v>
      </c>
      <c r="K652" s="105"/>
      <c r="L652" s="122" t="s">
        <v>329</v>
      </c>
      <c r="M652" s="301"/>
      <c r="N652" s="295"/>
    </row>
    <row r="653" spans="1:14" ht="45.75" customHeight="1">
      <c r="A653" s="862"/>
      <c r="B653" s="417"/>
      <c r="C653" s="865"/>
      <c r="D653" s="6"/>
      <c r="E653" s="65">
        <f t="shared" si="96"/>
        <v>59523.229</v>
      </c>
      <c r="F653" s="105">
        <f>47300.9+1903.7</f>
        <v>49204.6</v>
      </c>
      <c r="G653" s="105">
        <f t="shared" si="98"/>
        <v>0</v>
      </c>
      <c r="H653" s="105"/>
      <c r="I653" s="105"/>
      <c r="J653" s="533">
        <v>10318.629</v>
      </c>
      <c r="K653" s="105">
        <v>0</v>
      </c>
      <c r="L653" s="141" t="s">
        <v>77</v>
      </c>
      <c r="M653" s="301"/>
      <c r="N653" s="295"/>
    </row>
    <row r="654" spans="1:14" ht="45.75" customHeight="1">
      <c r="A654" s="862"/>
      <c r="B654" s="417"/>
      <c r="C654" s="865"/>
      <c r="D654" s="6"/>
      <c r="E654" s="65">
        <f t="shared" si="96"/>
        <v>59613.849</v>
      </c>
      <c r="F654" s="105">
        <f>45703.8+1733</f>
        <v>47436.8</v>
      </c>
      <c r="G654" s="105">
        <f t="shared" si="98"/>
        <v>0</v>
      </c>
      <c r="H654" s="105"/>
      <c r="I654" s="105"/>
      <c r="J654" s="533">
        <v>12177.049</v>
      </c>
      <c r="K654" s="105">
        <v>0</v>
      </c>
      <c r="L654" s="141" t="s">
        <v>79</v>
      </c>
      <c r="M654" s="301"/>
      <c r="N654" s="295"/>
    </row>
    <row r="655" spans="1:14" ht="45.75" customHeight="1">
      <c r="A655" s="862"/>
      <c r="B655" s="417"/>
      <c r="C655" s="865"/>
      <c r="D655" s="6"/>
      <c r="E655" s="65">
        <f t="shared" si="96"/>
        <v>5810.827</v>
      </c>
      <c r="F655" s="105">
        <v>0</v>
      </c>
      <c r="G655" s="105">
        <f t="shared" si="98"/>
        <v>0</v>
      </c>
      <c r="H655" s="105"/>
      <c r="I655" s="105"/>
      <c r="J655" s="533">
        <v>5810.827</v>
      </c>
      <c r="K655" s="105">
        <v>0</v>
      </c>
      <c r="L655" s="141" t="s">
        <v>333</v>
      </c>
      <c r="M655" s="301"/>
      <c r="N655" s="295"/>
    </row>
    <row r="656" spans="1:14" ht="45.75" customHeight="1">
      <c r="A656" s="862"/>
      <c r="B656" s="417"/>
      <c r="C656" s="865"/>
      <c r="D656" s="6"/>
      <c r="E656" s="65">
        <f t="shared" si="96"/>
        <v>7586.841</v>
      </c>
      <c r="F656" s="105">
        <v>0</v>
      </c>
      <c r="G656" s="105">
        <f t="shared" si="98"/>
        <v>0</v>
      </c>
      <c r="H656" s="105"/>
      <c r="I656" s="105"/>
      <c r="J656" s="533">
        <v>7586.841</v>
      </c>
      <c r="K656" s="105">
        <v>0</v>
      </c>
      <c r="L656" s="141" t="s">
        <v>321</v>
      </c>
      <c r="M656" s="301"/>
      <c r="N656" s="295"/>
    </row>
    <row r="657" spans="1:14" ht="45.75" customHeight="1">
      <c r="A657" s="862"/>
      <c r="B657" s="417"/>
      <c r="C657" s="865"/>
      <c r="D657" s="158"/>
      <c r="E657" s="66">
        <f t="shared" si="96"/>
        <v>242.8</v>
      </c>
      <c r="F657" s="121">
        <v>0</v>
      </c>
      <c r="G657" s="121">
        <f t="shared" si="98"/>
        <v>0</v>
      </c>
      <c r="H657" s="121"/>
      <c r="I657" s="121"/>
      <c r="J657" s="545">
        <v>242.8</v>
      </c>
      <c r="K657" s="121">
        <v>0</v>
      </c>
      <c r="L657" s="164" t="s">
        <v>331</v>
      </c>
      <c r="M657" s="386"/>
      <c r="N657" s="387"/>
    </row>
    <row r="658" spans="1:14" s="394" customFormat="1" ht="45.75" customHeight="1">
      <c r="A658" s="863"/>
      <c r="B658" s="390"/>
      <c r="C658" s="866"/>
      <c r="D658" s="391"/>
      <c r="E658" s="392">
        <f t="shared" si="96"/>
        <v>8912.832999999999</v>
      </c>
      <c r="F658" s="393">
        <v>0</v>
      </c>
      <c r="G658" s="393">
        <f t="shared" si="98"/>
        <v>1710.5</v>
      </c>
      <c r="H658" s="393"/>
      <c r="I658" s="393">
        <v>1710.5</v>
      </c>
      <c r="J658" s="547">
        <v>7202.333</v>
      </c>
      <c r="K658" s="393">
        <v>0</v>
      </c>
      <c r="L658" s="242" t="s">
        <v>332</v>
      </c>
      <c r="M658" s="301"/>
      <c r="N658" s="301"/>
    </row>
    <row r="659" spans="1:14" ht="20.25" customHeight="1">
      <c r="A659" s="389"/>
      <c r="B659" s="390"/>
      <c r="C659" s="390"/>
      <c r="D659" s="391"/>
      <c r="E659" s="392"/>
      <c r="F659" s="393"/>
      <c r="G659" s="393"/>
      <c r="H659" s="393"/>
      <c r="I659" s="393"/>
      <c r="J659" s="547"/>
      <c r="K659" s="393"/>
      <c r="L659" s="242"/>
      <c r="M659" s="301"/>
      <c r="N659" s="388"/>
    </row>
    <row r="660" spans="1:14" s="55" customFormat="1" ht="27" customHeight="1">
      <c r="A660" s="695" t="s">
        <v>242</v>
      </c>
      <c r="B660" s="696" t="s">
        <v>344</v>
      </c>
      <c r="C660" s="414"/>
      <c r="D660" s="391">
        <v>2020</v>
      </c>
      <c r="E660" s="392">
        <f aca="true" t="shared" si="99" ref="E660:K660">E661+E662</f>
        <v>1979.1</v>
      </c>
      <c r="F660" s="392">
        <f t="shared" si="99"/>
        <v>0</v>
      </c>
      <c r="G660" s="392">
        <f t="shared" si="99"/>
        <v>1979.1</v>
      </c>
      <c r="H660" s="392">
        <f t="shared" si="99"/>
        <v>1979.1</v>
      </c>
      <c r="I660" s="392">
        <f t="shared" si="99"/>
        <v>0</v>
      </c>
      <c r="J660" s="547">
        <f t="shared" si="99"/>
        <v>0</v>
      </c>
      <c r="K660" s="392">
        <f t="shared" si="99"/>
        <v>0</v>
      </c>
      <c r="L660" s="298"/>
      <c r="M660" s="697"/>
      <c r="N660" s="270"/>
    </row>
    <row r="661" spans="1:14" ht="39.75" customHeight="1">
      <c r="A661" s="695"/>
      <c r="B661" s="696"/>
      <c r="C661" s="414"/>
      <c r="D661" s="242" t="s">
        <v>77</v>
      </c>
      <c r="E661" s="393">
        <f aca="true" t="shared" si="100" ref="E661:E674">F661+G661+J661</f>
        <v>925.294</v>
      </c>
      <c r="F661" s="393">
        <v>0</v>
      </c>
      <c r="G661" s="393">
        <f aca="true" t="shared" si="101" ref="G661:G674">H661+I661</f>
        <v>925.294</v>
      </c>
      <c r="H661" s="393">
        <f>925.3-0.006</f>
        <v>925.294</v>
      </c>
      <c r="I661" s="393">
        <v>0</v>
      </c>
      <c r="J661" s="547">
        <v>0</v>
      </c>
      <c r="K661" s="393">
        <v>0</v>
      </c>
      <c r="L661" s="242" t="s">
        <v>77</v>
      </c>
      <c r="M661" s="697"/>
      <c r="N661" s="270"/>
    </row>
    <row r="662" spans="1:14" ht="50.25" customHeight="1">
      <c r="A662" s="695"/>
      <c r="B662" s="696"/>
      <c r="C662" s="414"/>
      <c r="D662" s="238" t="s">
        <v>79</v>
      </c>
      <c r="E662" s="393">
        <f t="shared" si="100"/>
        <v>1053.806</v>
      </c>
      <c r="F662" s="393">
        <v>0</v>
      </c>
      <c r="G662" s="393">
        <f t="shared" si="101"/>
        <v>1053.806</v>
      </c>
      <c r="H662" s="393">
        <f>1053.8+0.006</f>
        <v>1053.806</v>
      </c>
      <c r="I662" s="393">
        <v>0</v>
      </c>
      <c r="J662" s="547">
        <v>0</v>
      </c>
      <c r="K662" s="393">
        <v>0</v>
      </c>
      <c r="L662" s="242" t="s">
        <v>79</v>
      </c>
      <c r="M662" s="697"/>
      <c r="N662" s="270"/>
    </row>
    <row r="663" spans="1:14" ht="27" customHeight="1">
      <c r="A663" s="695"/>
      <c r="B663" s="696"/>
      <c r="C663" s="414"/>
      <c r="D663" s="391">
        <v>2021</v>
      </c>
      <c r="E663" s="392">
        <f t="shared" si="100"/>
        <v>5937</v>
      </c>
      <c r="F663" s="392">
        <f>F664+F665</f>
        <v>0</v>
      </c>
      <c r="G663" s="392">
        <f t="shared" si="101"/>
        <v>5937</v>
      </c>
      <c r="H663" s="392">
        <f>H664+H665</f>
        <v>5937</v>
      </c>
      <c r="I663" s="392">
        <f>I664+I665</f>
        <v>0</v>
      </c>
      <c r="J663" s="547">
        <f>J664+J665</f>
        <v>0</v>
      </c>
      <c r="K663" s="392">
        <f>K664+K665</f>
        <v>0</v>
      </c>
      <c r="L663" s="298"/>
      <c r="M663" s="697"/>
      <c r="N663" s="270"/>
    </row>
    <row r="664" spans="1:14" ht="46.5" customHeight="1">
      <c r="A664" s="695"/>
      <c r="B664" s="696"/>
      <c r="C664" s="414"/>
      <c r="D664" s="242" t="s">
        <v>77</v>
      </c>
      <c r="E664" s="393">
        <f t="shared" si="100"/>
        <v>2775.74</v>
      </c>
      <c r="F664" s="393"/>
      <c r="G664" s="393">
        <f t="shared" si="101"/>
        <v>2775.74</v>
      </c>
      <c r="H664" s="393">
        <v>2775.74</v>
      </c>
      <c r="I664" s="393"/>
      <c r="J664" s="547"/>
      <c r="K664" s="393"/>
      <c r="L664" s="242" t="s">
        <v>77</v>
      </c>
      <c r="M664" s="697"/>
      <c r="N664" s="270"/>
    </row>
    <row r="665" spans="1:14" ht="44.25" customHeight="1">
      <c r="A665" s="695"/>
      <c r="B665" s="696"/>
      <c r="C665" s="414"/>
      <c r="D665" s="238" t="s">
        <v>79</v>
      </c>
      <c r="E665" s="393">
        <f t="shared" si="100"/>
        <v>3161.26</v>
      </c>
      <c r="F665" s="393"/>
      <c r="G665" s="393">
        <f t="shared" si="101"/>
        <v>3161.26</v>
      </c>
      <c r="H665" s="393">
        <v>3161.26</v>
      </c>
      <c r="I665" s="393"/>
      <c r="J665" s="547"/>
      <c r="K665" s="393"/>
      <c r="L665" s="242" t="s">
        <v>79</v>
      </c>
      <c r="M665" s="697"/>
      <c r="N665" s="270"/>
    </row>
    <row r="666" spans="1:14" ht="27" customHeight="1">
      <c r="A666" s="695"/>
      <c r="B666" s="696"/>
      <c r="C666" s="414"/>
      <c r="D666" s="391">
        <v>2022</v>
      </c>
      <c r="E666" s="392">
        <f t="shared" si="100"/>
        <v>5627.799999999999</v>
      </c>
      <c r="F666" s="392">
        <f>F667+F668</f>
        <v>0</v>
      </c>
      <c r="G666" s="392">
        <f t="shared" si="101"/>
        <v>5627.799999999999</v>
      </c>
      <c r="H666" s="392">
        <f>H667+H668</f>
        <v>5627.799999999999</v>
      </c>
      <c r="I666" s="392">
        <f>I667+I668</f>
        <v>0</v>
      </c>
      <c r="J666" s="547">
        <f>J667+J668</f>
        <v>0</v>
      </c>
      <c r="K666" s="392">
        <f>K667+K668</f>
        <v>0</v>
      </c>
      <c r="L666" s="298"/>
      <c r="M666" s="697"/>
      <c r="N666" s="270"/>
    </row>
    <row r="667" spans="1:14" ht="45" customHeight="1">
      <c r="A667" s="695"/>
      <c r="B667" s="696"/>
      <c r="C667" s="414"/>
      <c r="D667" s="242" t="s">
        <v>77</v>
      </c>
      <c r="E667" s="393">
        <f t="shared" si="100"/>
        <v>2775.85</v>
      </c>
      <c r="F667" s="393"/>
      <c r="G667" s="393">
        <f t="shared" si="101"/>
        <v>2775.85</v>
      </c>
      <c r="H667" s="393">
        <v>2775.85</v>
      </c>
      <c r="I667" s="393"/>
      <c r="J667" s="547"/>
      <c r="K667" s="393"/>
      <c r="L667" s="242" t="s">
        <v>77</v>
      </c>
      <c r="M667" s="697"/>
      <c r="N667" s="270"/>
    </row>
    <row r="668" spans="1:14" ht="40.5" customHeight="1">
      <c r="A668" s="695"/>
      <c r="B668" s="696"/>
      <c r="C668" s="414"/>
      <c r="D668" s="242" t="s">
        <v>79</v>
      </c>
      <c r="E668" s="393">
        <f t="shared" si="100"/>
        <v>2851.95</v>
      </c>
      <c r="F668" s="393"/>
      <c r="G668" s="393">
        <f t="shared" si="101"/>
        <v>2851.95</v>
      </c>
      <c r="H668" s="393">
        <v>2851.95</v>
      </c>
      <c r="I668" s="393"/>
      <c r="J668" s="547"/>
      <c r="K668" s="393"/>
      <c r="L668" s="242" t="s">
        <v>79</v>
      </c>
      <c r="M668" s="697"/>
      <c r="N668" s="270"/>
    </row>
    <row r="669" spans="1:14" ht="27.75" customHeight="1">
      <c r="A669" s="695"/>
      <c r="B669" s="696"/>
      <c r="C669" s="414"/>
      <c r="D669" s="391">
        <v>2023</v>
      </c>
      <c r="E669" s="392">
        <f t="shared" si="100"/>
        <v>6093.299999999999</v>
      </c>
      <c r="F669" s="392"/>
      <c r="G669" s="392">
        <f t="shared" si="101"/>
        <v>6093.299999999999</v>
      </c>
      <c r="H669" s="392">
        <f>H670+H671</f>
        <v>6093.299999999999</v>
      </c>
      <c r="I669" s="392">
        <f>I670+I671</f>
        <v>0</v>
      </c>
      <c r="J669" s="547">
        <f>J670+J671</f>
        <v>0</v>
      </c>
      <c r="K669" s="392">
        <f>K670+K671</f>
        <v>0</v>
      </c>
      <c r="L669" s="391"/>
      <c r="M669" s="697"/>
      <c r="N669" s="270"/>
    </row>
    <row r="670" spans="1:14" ht="42" customHeight="1">
      <c r="A670" s="695"/>
      <c r="B670" s="696"/>
      <c r="C670" s="414"/>
      <c r="D670" s="242" t="s">
        <v>77</v>
      </c>
      <c r="E670" s="393">
        <f t="shared" si="100"/>
        <v>2863.85</v>
      </c>
      <c r="F670" s="393"/>
      <c r="G670" s="393">
        <f t="shared" si="101"/>
        <v>2863.85</v>
      </c>
      <c r="H670" s="393">
        <v>2863.85</v>
      </c>
      <c r="I670" s="393"/>
      <c r="J670" s="547"/>
      <c r="K670" s="393"/>
      <c r="L670" s="242" t="s">
        <v>77</v>
      </c>
      <c r="M670" s="697"/>
      <c r="N670" s="270"/>
    </row>
    <row r="671" spans="1:14" ht="46.5" customHeight="1">
      <c r="A671" s="695"/>
      <c r="B671" s="696"/>
      <c r="C671" s="414"/>
      <c r="D671" s="238" t="s">
        <v>79</v>
      </c>
      <c r="E671" s="393">
        <f t="shared" si="100"/>
        <v>3229.45</v>
      </c>
      <c r="F671" s="393"/>
      <c r="G671" s="393">
        <f t="shared" si="101"/>
        <v>3229.45</v>
      </c>
      <c r="H671" s="393">
        <v>3229.45</v>
      </c>
      <c r="I671" s="393"/>
      <c r="J671" s="547"/>
      <c r="K671" s="393"/>
      <c r="L671" s="242" t="s">
        <v>79</v>
      </c>
      <c r="M671" s="697"/>
      <c r="N671" s="270"/>
    </row>
    <row r="672" spans="1:14" ht="27" customHeight="1">
      <c r="A672" s="695"/>
      <c r="B672" s="696"/>
      <c r="C672" s="414"/>
      <c r="D672" s="391">
        <v>2024</v>
      </c>
      <c r="E672" s="392">
        <f t="shared" si="100"/>
        <v>6015.2</v>
      </c>
      <c r="F672" s="392"/>
      <c r="G672" s="392">
        <f t="shared" si="101"/>
        <v>6015.2</v>
      </c>
      <c r="H672" s="392">
        <f>H673+H674</f>
        <v>6015.2</v>
      </c>
      <c r="I672" s="392">
        <f>I673+I674</f>
        <v>0</v>
      </c>
      <c r="J672" s="547">
        <f>J673+J674</f>
        <v>0</v>
      </c>
      <c r="K672" s="392">
        <f>K673+K674</f>
        <v>0</v>
      </c>
      <c r="L672" s="391"/>
      <c r="M672" s="697"/>
      <c r="N672" s="270"/>
    </row>
    <row r="673" spans="1:14" ht="54.75" customHeight="1">
      <c r="A673" s="695"/>
      <c r="B673" s="696"/>
      <c r="C673" s="414"/>
      <c r="D673" s="242" t="s">
        <v>77</v>
      </c>
      <c r="E673" s="393">
        <f t="shared" si="100"/>
        <v>2827.145</v>
      </c>
      <c r="F673" s="393"/>
      <c r="G673" s="393">
        <f t="shared" si="101"/>
        <v>2827.145</v>
      </c>
      <c r="H673" s="393">
        <v>2827.145</v>
      </c>
      <c r="I673" s="393"/>
      <c r="J673" s="547"/>
      <c r="K673" s="393"/>
      <c r="L673" s="242" t="s">
        <v>77</v>
      </c>
      <c r="M673" s="697"/>
      <c r="N673" s="270"/>
    </row>
    <row r="674" spans="1:14" ht="49.5" customHeight="1">
      <c r="A674" s="695"/>
      <c r="B674" s="696"/>
      <c r="C674" s="414"/>
      <c r="D674" s="238" t="s">
        <v>79</v>
      </c>
      <c r="E674" s="393">
        <f t="shared" si="100"/>
        <v>3188.055</v>
      </c>
      <c r="F674" s="393"/>
      <c r="G674" s="393">
        <f t="shared" si="101"/>
        <v>3188.055</v>
      </c>
      <c r="H674" s="393">
        <v>3188.055</v>
      </c>
      <c r="I674" s="393"/>
      <c r="J674" s="547"/>
      <c r="K674" s="393"/>
      <c r="L674" s="242" t="s">
        <v>79</v>
      </c>
      <c r="M674" s="697"/>
      <c r="N674" s="270"/>
    </row>
    <row r="675" spans="1:14" ht="49.5" customHeight="1">
      <c r="A675" s="413"/>
      <c r="B675" s="414"/>
      <c r="C675" s="414"/>
      <c r="D675" s="391">
        <v>2025</v>
      </c>
      <c r="E675" s="392">
        <f>F675+G675+J675</f>
        <v>6015.2</v>
      </c>
      <c r="F675" s="392"/>
      <c r="G675" s="392">
        <f>H675+I675</f>
        <v>6015.2</v>
      </c>
      <c r="H675" s="392">
        <f>H676+H677</f>
        <v>6015.2</v>
      </c>
      <c r="I675" s="392">
        <f>I676+I677</f>
        <v>0</v>
      </c>
      <c r="J675" s="547">
        <f>J676+J677</f>
        <v>0</v>
      </c>
      <c r="K675" s="392">
        <f>K676+K677</f>
        <v>0</v>
      </c>
      <c r="L675" s="391"/>
      <c r="M675" s="299"/>
      <c r="N675" s="270"/>
    </row>
    <row r="676" spans="1:14" ht="49.5" customHeight="1">
      <c r="A676" s="413"/>
      <c r="B676" s="414"/>
      <c r="C676" s="414"/>
      <c r="D676" s="242" t="s">
        <v>77</v>
      </c>
      <c r="E676" s="393">
        <f>F676+G676+J676</f>
        <v>2827.145</v>
      </c>
      <c r="F676" s="393"/>
      <c r="G676" s="393">
        <f>H676+I676</f>
        <v>2827.145</v>
      </c>
      <c r="H676" s="393">
        <v>2827.145</v>
      </c>
      <c r="I676" s="393"/>
      <c r="J676" s="547"/>
      <c r="K676" s="393"/>
      <c r="L676" s="242" t="s">
        <v>77</v>
      </c>
      <c r="M676" s="299"/>
      <c r="N676" s="270"/>
    </row>
    <row r="677" spans="1:14" ht="49.5" customHeight="1">
      <c r="A677" s="413"/>
      <c r="B677" s="414"/>
      <c r="C677" s="414"/>
      <c r="D677" s="238" t="s">
        <v>79</v>
      </c>
      <c r="E677" s="393">
        <f>F677+G677+J677</f>
        <v>3188.055</v>
      </c>
      <c r="F677" s="393"/>
      <c r="G677" s="393">
        <f>H677+I677</f>
        <v>3188.055</v>
      </c>
      <c r="H677" s="393">
        <v>3188.055</v>
      </c>
      <c r="I677" s="393"/>
      <c r="J677" s="547"/>
      <c r="K677" s="393"/>
      <c r="L677" s="242" t="s">
        <v>79</v>
      </c>
      <c r="M677" s="299"/>
      <c r="N677" s="270"/>
    </row>
    <row r="678" spans="1:14" ht="27" customHeight="1" thickBot="1">
      <c r="A678" s="680"/>
      <c r="B678" s="683" t="s">
        <v>243</v>
      </c>
      <c r="C678" s="497"/>
      <c r="D678" s="498">
        <v>2017</v>
      </c>
      <c r="E678" s="499">
        <f aca="true" t="shared" si="102" ref="E678:J678">E549+E558</f>
        <v>216780.416</v>
      </c>
      <c r="F678" s="499">
        <f t="shared" si="102"/>
        <v>124615.2</v>
      </c>
      <c r="G678" s="499">
        <f t="shared" si="102"/>
        <v>727</v>
      </c>
      <c r="H678" s="499">
        <f t="shared" si="102"/>
        <v>0</v>
      </c>
      <c r="I678" s="499">
        <f t="shared" si="102"/>
        <v>727</v>
      </c>
      <c r="J678" s="571">
        <f t="shared" si="102"/>
        <v>91438.216</v>
      </c>
      <c r="K678" s="499">
        <f>K558+K549+K537+K437+K436+K435+K434+K433+K432+K431+K280+K279</f>
        <v>0</v>
      </c>
      <c r="L678" s="686"/>
      <c r="M678" s="651"/>
      <c r="N678" s="295"/>
    </row>
    <row r="679" spans="1:14" ht="27" customHeight="1" thickBot="1">
      <c r="A679" s="681"/>
      <c r="B679" s="684"/>
      <c r="C679" s="500"/>
      <c r="D679" s="501">
        <v>2018</v>
      </c>
      <c r="E679" s="496">
        <f aca="true" t="shared" si="103" ref="E679:J679">E568+E560</f>
        <v>209116.99978</v>
      </c>
      <c r="F679" s="496">
        <f t="shared" si="103"/>
        <v>137344.5</v>
      </c>
      <c r="G679" s="496">
        <f t="shared" si="103"/>
        <v>1006.9820000000001</v>
      </c>
      <c r="H679" s="496">
        <f t="shared" si="103"/>
        <v>0</v>
      </c>
      <c r="I679" s="496">
        <f t="shared" si="103"/>
        <v>1006.9820000000001</v>
      </c>
      <c r="J679" s="572">
        <f t="shared" si="103"/>
        <v>70765.51778000001</v>
      </c>
      <c r="K679" s="502">
        <f>K560</f>
        <v>0</v>
      </c>
      <c r="L679" s="687"/>
      <c r="M679" s="651"/>
      <c r="N679" s="295"/>
    </row>
    <row r="680" spans="1:14" ht="27" customHeight="1" thickBot="1">
      <c r="A680" s="681"/>
      <c r="B680" s="684"/>
      <c r="C680" s="500"/>
      <c r="D680" s="503">
        <v>2019</v>
      </c>
      <c r="E680" s="65">
        <f aca="true" t="shared" si="104" ref="E680:K680">E574</f>
        <v>229770.53044</v>
      </c>
      <c r="F680" s="65">
        <f t="shared" si="104"/>
        <v>150533.8</v>
      </c>
      <c r="G680" s="65">
        <f t="shared" si="104"/>
        <v>1276.052</v>
      </c>
      <c r="H680" s="65">
        <f t="shared" si="104"/>
        <v>0</v>
      </c>
      <c r="I680" s="65">
        <f t="shared" si="104"/>
        <v>1276.052</v>
      </c>
      <c r="J680" s="533">
        <f t="shared" si="104"/>
        <v>77960.67844000002</v>
      </c>
      <c r="K680" s="504">
        <f t="shared" si="104"/>
        <v>0</v>
      </c>
      <c r="L680" s="687"/>
      <c r="M680" s="651"/>
      <c r="N680" s="295"/>
    </row>
    <row r="681" spans="1:14" ht="27" customHeight="1" thickBot="1">
      <c r="A681" s="681"/>
      <c r="B681" s="684"/>
      <c r="C681" s="500"/>
      <c r="D681" s="503">
        <v>2020</v>
      </c>
      <c r="E681" s="65">
        <f aca="true" t="shared" si="105" ref="E681:K681">E584+E660</f>
        <v>237581.17301</v>
      </c>
      <c r="F681" s="65">
        <f t="shared" si="105"/>
        <v>151107</v>
      </c>
      <c r="G681" s="65">
        <f t="shared" si="105"/>
        <v>3250.1</v>
      </c>
      <c r="H681" s="65">
        <f t="shared" si="105"/>
        <v>1979.1</v>
      </c>
      <c r="I681" s="65">
        <f t="shared" si="105"/>
        <v>1271</v>
      </c>
      <c r="J681" s="533">
        <f t="shared" si="105"/>
        <v>83224.07301000001</v>
      </c>
      <c r="K681" s="504">
        <f t="shared" si="105"/>
        <v>0</v>
      </c>
      <c r="L681" s="687"/>
      <c r="M681" s="651"/>
      <c r="N681" s="295"/>
    </row>
    <row r="682" spans="1:14" ht="27" customHeight="1" thickBot="1">
      <c r="A682" s="681"/>
      <c r="B682" s="684"/>
      <c r="C682" s="500"/>
      <c r="D682" s="503">
        <v>2021</v>
      </c>
      <c r="E682" s="65">
        <f aca="true" t="shared" si="106" ref="E682:K682">E663+E594</f>
        <v>246291.62797</v>
      </c>
      <c r="F682" s="65">
        <f t="shared" si="106"/>
        <v>157115</v>
      </c>
      <c r="G682" s="65">
        <f t="shared" si="106"/>
        <v>7957.82</v>
      </c>
      <c r="H682" s="65">
        <f t="shared" si="106"/>
        <v>5937</v>
      </c>
      <c r="I682" s="65">
        <f t="shared" si="106"/>
        <v>2020.82</v>
      </c>
      <c r="J682" s="533">
        <f t="shared" si="106"/>
        <v>81218.80797</v>
      </c>
      <c r="K682" s="65">
        <f t="shared" si="106"/>
        <v>0</v>
      </c>
      <c r="L682" s="687"/>
      <c r="M682" s="651"/>
      <c r="N682" s="295"/>
    </row>
    <row r="683" spans="1:14" ht="27" customHeight="1" thickBot="1">
      <c r="A683" s="681"/>
      <c r="B683" s="684"/>
      <c r="C683" s="500"/>
      <c r="D683" s="503">
        <v>2022</v>
      </c>
      <c r="E683" s="65">
        <f aca="true" t="shared" si="107" ref="E683:K683">E666+E607</f>
        <v>261386.86052999998</v>
      </c>
      <c r="F683" s="65">
        <f t="shared" si="107"/>
        <v>169477.6</v>
      </c>
      <c r="G683" s="65">
        <f t="shared" si="107"/>
        <v>7425.8189999999995</v>
      </c>
      <c r="H683" s="65">
        <f t="shared" si="107"/>
        <v>5627.799999999999</v>
      </c>
      <c r="I683" s="65">
        <f t="shared" si="107"/>
        <v>1798.019</v>
      </c>
      <c r="J683" s="533">
        <f t="shared" si="107"/>
        <v>84483.44152999998</v>
      </c>
      <c r="K683" s="504">
        <f t="shared" si="107"/>
        <v>0</v>
      </c>
      <c r="L683" s="687"/>
      <c r="M683" s="651"/>
      <c r="N683" s="295"/>
    </row>
    <row r="684" spans="1:14" ht="27" customHeight="1" thickBot="1">
      <c r="A684" s="681"/>
      <c r="B684" s="684"/>
      <c r="C684" s="500"/>
      <c r="D684" s="503">
        <v>2023</v>
      </c>
      <c r="E684" s="66">
        <f aca="true" t="shared" si="108" ref="E684:J684">E620+E669</f>
        <v>269267.705</v>
      </c>
      <c r="F684" s="66">
        <f t="shared" si="108"/>
        <v>160562</v>
      </c>
      <c r="G684" s="66">
        <f t="shared" si="108"/>
        <v>7803.799999999999</v>
      </c>
      <c r="H684" s="66">
        <f t="shared" si="108"/>
        <v>6093.299999999999</v>
      </c>
      <c r="I684" s="66">
        <f t="shared" si="108"/>
        <v>1710.5</v>
      </c>
      <c r="J684" s="545">
        <f t="shared" si="108"/>
        <v>100901.905</v>
      </c>
      <c r="K684" s="603">
        <f>K669+K620</f>
        <v>0</v>
      </c>
      <c r="L684" s="687"/>
      <c r="M684" s="651"/>
      <c r="N684" s="295"/>
    </row>
    <row r="685" spans="1:14" ht="27" customHeight="1">
      <c r="A685" s="682"/>
      <c r="B685" s="685"/>
      <c r="C685" s="604"/>
      <c r="D685" s="605">
        <v>2024</v>
      </c>
      <c r="E685" s="66">
        <f>E633+E672</f>
        <v>268178.69800000003</v>
      </c>
      <c r="F685" s="66">
        <f aca="true" t="shared" si="109" ref="F685:K685">F633+F672</f>
        <v>160562</v>
      </c>
      <c r="G685" s="66">
        <f t="shared" si="109"/>
        <v>7725.7</v>
      </c>
      <c r="H685" s="66">
        <f t="shared" si="109"/>
        <v>6015.2</v>
      </c>
      <c r="I685" s="66">
        <f t="shared" si="109"/>
        <v>1710.5</v>
      </c>
      <c r="J685" s="545">
        <f t="shared" si="109"/>
        <v>99890.99800000002</v>
      </c>
      <c r="K685" s="66">
        <f t="shared" si="109"/>
        <v>0</v>
      </c>
      <c r="L685" s="688"/>
      <c r="M685" s="651"/>
      <c r="N685" s="295"/>
    </row>
    <row r="686" spans="1:14" ht="27" customHeight="1">
      <c r="A686" s="399"/>
      <c r="B686" s="413"/>
      <c r="C686" s="413"/>
      <c r="D686" s="391">
        <v>2025</v>
      </c>
      <c r="E686" s="606">
        <f>E646+E675</f>
        <v>269285.952</v>
      </c>
      <c r="F686" s="606">
        <f aca="true" t="shared" si="110" ref="F686:K686">F646+F675</f>
        <v>160562</v>
      </c>
      <c r="G686" s="606">
        <f t="shared" si="110"/>
        <v>7725.7</v>
      </c>
      <c r="H686" s="606">
        <f t="shared" si="110"/>
        <v>6015.2</v>
      </c>
      <c r="I686" s="606">
        <f t="shared" si="110"/>
        <v>1710.5</v>
      </c>
      <c r="J686" s="607">
        <f t="shared" si="110"/>
        <v>100998.25200000001</v>
      </c>
      <c r="K686" s="606">
        <f t="shared" si="110"/>
        <v>0</v>
      </c>
      <c r="L686" s="242"/>
      <c r="M686" s="301"/>
      <c r="N686" s="295"/>
    </row>
    <row r="687" spans="1:14" ht="27" customHeight="1" thickBot="1">
      <c r="A687" s="689" t="s">
        <v>244</v>
      </c>
      <c r="B687" s="689"/>
      <c r="C687" s="689"/>
      <c r="D687" s="689"/>
      <c r="E687" s="689"/>
      <c r="F687" s="689"/>
      <c r="G687" s="689"/>
      <c r="H687" s="689"/>
      <c r="I687" s="689"/>
      <c r="J687" s="689"/>
      <c r="K687" s="67"/>
      <c r="L687" s="67"/>
      <c r="M687" s="419"/>
      <c r="N687" s="355"/>
    </row>
    <row r="688" spans="1:14" ht="27" customHeight="1" thickBot="1">
      <c r="A688" s="60" t="s">
        <v>245</v>
      </c>
      <c r="B688" s="64"/>
      <c r="C688" s="356"/>
      <c r="D688" s="356"/>
      <c r="E688" s="356"/>
      <c r="F688" s="356"/>
      <c r="G688" s="356"/>
      <c r="H688" s="356"/>
      <c r="I688" s="356"/>
      <c r="J688" s="573"/>
      <c r="K688" s="356"/>
      <c r="L688" s="356"/>
      <c r="M688" s="246"/>
      <c r="N688" s="241"/>
    </row>
    <row r="689" spans="1:14" ht="29.25" customHeight="1" thickBot="1">
      <c r="A689" s="68" t="s">
        <v>246</v>
      </c>
      <c r="B689" s="69"/>
      <c r="C689" s="70"/>
      <c r="D689" s="70"/>
      <c r="E689" s="70"/>
      <c r="F689" s="70"/>
      <c r="G689" s="70"/>
      <c r="H689" s="70"/>
      <c r="I689" s="70"/>
      <c r="J689" s="574"/>
      <c r="K689" s="70"/>
      <c r="L689" s="70"/>
      <c r="M689" s="330"/>
      <c r="N689" s="326"/>
    </row>
    <row r="690" spans="1:14" ht="24.75" customHeight="1" thickBot="1">
      <c r="A690" s="690" t="s">
        <v>247</v>
      </c>
      <c r="B690" s="691" t="s">
        <v>248</v>
      </c>
      <c r="C690" s="223"/>
      <c r="D690" s="127">
        <v>2017</v>
      </c>
      <c r="E690" s="9">
        <f aca="true" t="shared" si="111" ref="E690:E698">F690+G690+J690+K690</f>
        <v>7260.311</v>
      </c>
      <c r="F690" s="95"/>
      <c r="G690" s="95">
        <f aca="true" t="shared" si="112" ref="G690:G697">H690+I690</f>
        <v>0</v>
      </c>
      <c r="H690" s="9">
        <v>0</v>
      </c>
      <c r="I690" s="9">
        <v>0</v>
      </c>
      <c r="J690" s="534">
        <v>7260.311</v>
      </c>
      <c r="K690" s="95">
        <v>0</v>
      </c>
      <c r="L690" s="232" t="s">
        <v>249</v>
      </c>
      <c r="M690" s="651" t="s">
        <v>250</v>
      </c>
      <c r="N690" s="295"/>
    </row>
    <row r="691" spans="1:14" ht="24.75" customHeight="1" thickBot="1">
      <c r="A691" s="690"/>
      <c r="B691" s="691"/>
      <c r="C691" s="223"/>
      <c r="D691" s="57">
        <v>2018</v>
      </c>
      <c r="E691" s="12">
        <f t="shared" si="111"/>
        <v>8308.2425</v>
      </c>
      <c r="F691" s="13"/>
      <c r="G691" s="13">
        <f t="shared" si="112"/>
        <v>0</v>
      </c>
      <c r="H691" s="12">
        <v>0</v>
      </c>
      <c r="I691" s="12">
        <v>0</v>
      </c>
      <c r="J691" s="532">
        <f>8213.1695+95.073</f>
        <v>8308.2425</v>
      </c>
      <c r="K691" s="13">
        <v>0</v>
      </c>
      <c r="L691" s="229" t="s">
        <v>249</v>
      </c>
      <c r="M691" s="651"/>
      <c r="N691" s="295"/>
    </row>
    <row r="692" spans="1:14" ht="24.75" customHeight="1" thickBot="1">
      <c r="A692" s="690"/>
      <c r="B692" s="691"/>
      <c r="C692" s="223"/>
      <c r="D692" s="57">
        <v>2019</v>
      </c>
      <c r="E692" s="12">
        <f t="shared" si="111"/>
        <v>8783.56033</v>
      </c>
      <c r="F692" s="13"/>
      <c r="G692" s="13">
        <f t="shared" si="112"/>
        <v>0</v>
      </c>
      <c r="H692" s="12">
        <v>0</v>
      </c>
      <c r="I692" s="12">
        <v>0</v>
      </c>
      <c r="J692" s="532">
        <f>8729.252+86.622-32.31367</f>
        <v>8783.56033</v>
      </c>
      <c r="K692" s="12">
        <v>0</v>
      </c>
      <c r="L692" s="229" t="s">
        <v>249</v>
      </c>
      <c r="M692" s="651"/>
      <c r="N692" s="295"/>
    </row>
    <row r="693" spans="1:14" ht="24.75" customHeight="1" thickBot="1">
      <c r="A693" s="690"/>
      <c r="B693" s="691"/>
      <c r="C693" s="223"/>
      <c r="D693" s="57">
        <v>2020</v>
      </c>
      <c r="E693" s="12">
        <f t="shared" si="111"/>
        <v>9039.217999999999</v>
      </c>
      <c r="F693" s="13"/>
      <c r="G693" s="13">
        <f t="shared" si="112"/>
        <v>0</v>
      </c>
      <c r="H693" s="12">
        <v>0</v>
      </c>
      <c r="I693" s="12">
        <v>0</v>
      </c>
      <c r="J693" s="532">
        <f>8976.345+62.873</f>
        <v>9039.217999999999</v>
      </c>
      <c r="K693" s="13">
        <v>0</v>
      </c>
      <c r="L693" s="229" t="s">
        <v>249</v>
      </c>
      <c r="M693" s="651"/>
      <c r="N693" s="295"/>
    </row>
    <row r="694" spans="1:14" ht="24.75" customHeight="1" thickBot="1">
      <c r="A694" s="690"/>
      <c r="B694" s="691"/>
      <c r="C694" s="223"/>
      <c r="D694" s="57">
        <v>2021</v>
      </c>
      <c r="E694" s="12">
        <f t="shared" si="111"/>
        <v>9362.219</v>
      </c>
      <c r="F694" s="13"/>
      <c r="G694" s="13">
        <f t="shared" si="112"/>
        <v>0</v>
      </c>
      <c r="H694" s="12">
        <v>0</v>
      </c>
      <c r="I694" s="12">
        <v>0</v>
      </c>
      <c r="J694" s="532">
        <v>9362.219</v>
      </c>
      <c r="K694" s="13">
        <v>0</v>
      </c>
      <c r="L694" s="229" t="s">
        <v>249</v>
      </c>
      <c r="M694" s="651"/>
      <c r="N694" s="295"/>
    </row>
    <row r="695" spans="1:14" ht="24.75" customHeight="1" thickBot="1">
      <c r="A695" s="690"/>
      <c r="B695" s="691"/>
      <c r="C695" s="505"/>
      <c r="D695" s="57">
        <v>2022</v>
      </c>
      <c r="E695" s="12">
        <f t="shared" si="111"/>
        <v>10001.615</v>
      </c>
      <c r="F695" s="13"/>
      <c r="G695" s="13">
        <f t="shared" si="112"/>
        <v>0</v>
      </c>
      <c r="H695" s="12">
        <v>0</v>
      </c>
      <c r="I695" s="12">
        <v>0</v>
      </c>
      <c r="J695" s="532">
        <v>10001.615</v>
      </c>
      <c r="K695" s="13">
        <v>0</v>
      </c>
      <c r="L695" s="229" t="s">
        <v>249</v>
      </c>
      <c r="M695" s="651"/>
      <c r="N695" s="295"/>
    </row>
    <row r="696" spans="1:14" ht="24.75" customHeight="1" thickBot="1">
      <c r="A696" s="690"/>
      <c r="B696" s="691"/>
      <c r="C696" s="505"/>
      <c r="D696" s="58">
        <v>2023</v>
      </c>
      <c r="E696" s="30">
        <f t="shared" si="111"/>
        <v>10403.509</v>
      </c>
      <c r="F696" s="31"/>
      <c r="G696" s="31">
        <f t="shared" si="112"/>
        <v>0</v>
      </c>
      <c r="H696" s="30">
        <v>0</v>
      </c>
      <c r="I696" s="30">
        <v>0</v>
      </c>
      <c r="J696" s="549">
        <v>10403.509</v>
      </c>
      <c r="K696" s="31">
        <v>0</v>
      </c>
      <c r="L696" s="37" t="s">
        <v>249</v>
      </c>
      <c r="M696" s="651"/>
      <c r="N696" s="295"/>
    </row>
    <row r="697" spans="1:14" ht="24.75" customHeight="1">
      <c r="A697" s="690"/>
      <c r="B697" s="691"/>
      <c r="C697" s="505"/>
      <c r="D697" s="58">
        <v>2024</v>
      </c>
      <c r="E697" s="30">
        <f t="shared" si="111"/>
        <v>10403.509</v>
      </c>
      <c r="F697" s="31"/>
      <c r="G697" s="31">
        <f t="shared" si="112"/>
        <v>0</v>
      </c>
      <c r="H697" s="30">
        <v>0</v>
      </c>
      <c r="I697" s="30">
        <v>0</v>
      </c>
      <c r="J697" s="549">
        <v>10403.509</v>
      </c>
      <c r="K697" s="31">
        <v>0</v>
      </c>
      <c r="L697" s="37" t="s">
        <v>249</v>
      </c>
      <c r="M697" s="651"/>
      <c r="N697" s="387"/>
    </row>
    <row r="698" spans="1:14" s="394" customFormat="1" ht="24.75" customHeight="1">
      <c r="A698" s="389"/>
      <c r="B698" s="301"/>
      <c r="C698" s="301"/>
      <c r="D698" s="391">
        <v>2025</v>
      </c>
      <c r="E698" s="506">
        <f t="shared" si="111"/>
        <v>10403.509</v>
      </c>
      <c r="F698" s="488"/>
      <c r="G698" s="31">
        <f>H698+I698</f>
        <v>0</v>
      </c>
      <c r="H698" s="30">
        <v>0</v>
      </c>
      <c r="I698" s="30">
        <v>0</v>
      </c>
      <c r="J698" s="582">
        <v>10403.509</v>
      </c>
      <c r="K698" s="488">
        <v>0</v>
      </c>
      <c r="L698" s="301" t="s">
        <v>249</v>
      </c>
      <c r="M698" s="301"/>
      <c r="N698" s="301"/>
    </row>
    <row r="699" spans="1:14" ht="27" customHeight="1">
      <c r="A699" s="674" t="s">
        <v>251</v>
      </c>
      <c r="B699" s="674"/>
      <c r="C699" s="674"/>
      <c r="D699" s="674"/>
      <c r="E699" s="674"/>
      <c r="F699" s="674"/>
      <c r="G699" s="674"/>
      <c r="H699" s="674"/>
      <c r="I699" s="675"/>
      <c r="J699" s="675"/>
      <c r="K699" s="675"/>
      <c r="L699" s="675"/>
      <c r="M699" s="675"/>
      <c r="N699" s="395"/>
    </row>
    <row r="700" spans="1:14" ht="27" customHeight="1">
      <c r="A700" s="676" t="s">
        <v>252</v>
      </c>
      <c r="B700" s="676"/>
      <c r="C700" s="676"/>
      <c r="D700" s="676"/>
      <c r="E700" s="676"/>
      <c r="F700" s="676"/>
      <c r="G700" s="676"/>
      <c r="H700" s="676"/>
      <c r="I700" s="357"/>
      <c r="J700" s="575"/>
      <c r="K700" s="357"/>
      <c r="L700" s="357"/>
      <c r="M700" s="358"/>
      <c r="N700" s="358"/>
    </row>
    <row r="701" spans="1:14" ht="27" customHeight="1">
      <c r="A701" s="677" t="s">
        <v>253</v>
      </c>
      <c r="B701" s="677"/>
      <c r="C701" s="677"/>
      <c r="D701" s="677"/>
      <c r="E701" s="677"/>
      <c r="F701" s="677"/>
      <c r="G701" s="359"/>
      <c r="H701" s="359"/>
      <c r="I701" s="359"/>
      <c r="J701" s="576"/>
      <c r="K701" s="359"/>
      <c r="L701" s="359"/>
      <c r="M701" s="360"/>
      <c r="N701" s="358"/>
    </row>
    <row r="702" spans="1:14" ht="50.25" customHeight="1" thickBot="1">
      <c r="A702" s="678" t="s">
        <v>254</v>
      </c>
      <c r="B702" s="679" t="s">
        <v>255</v>
      </c>
      <c r="C702" s="224"/>
      <c r="D702" s="6">
        <v>2017</v>
      </c>
      <c r="E702" s="225">
        <f aca="true" t="shared" si="113" ref="E702:E730">F702+G702+J702+K702</f>
        <v>292.4</v>
      </c>
      <c r="F702" s="119">
        <v>292.4</v>
      </c>
      <c r="G702" s="119">
        <f aca="true" t="shared" si="114" ref="G702:G707">H702+I702</f>
        <v>0</v>
      </c>
      <c r="H702" s="119"/>
      <c r="I702" s="119">
        <v>0</v>
      </c>
      <c r="J702" s="543">
        <v>0</v>
      </c>
      <c r="K702" s="119">
        <v>0</v>
      </c>
      <c r="L702" s="226" t="s">
        <v>51</v>
      </c>
      <c r="M702" s="651" t="s">
        <v>256</v>
      </c>
      <c r="N702" s="295"/>
    </row>
    <row r="703" spans="1:14" ht="42.75" customHeight="1" thickBot="1">
      <c r="A703" s="678"/>
      <c r="B703" s="679"/>
      <c r="C703" s="227"/>
      <c r="D703" s="6">
        <v>2018</v>
      </c>
      <c r="E703" s="228">
        <f t="shared" si="113"/>
        <v>233.2</v>
      </c>
      <c r="F703" s="105">
        <v>233.2</v>
      </c>
      <c r="G703" s="105">
        <f t="shared" si="114"/>
        <v>0</v>
      </c>
      <c r="H703" s="105"/>
      <c r="I703" s="105">
        <v>0</v>
      </c>
      <c r="J703" s="533">
        <v>0</v>
      </c>
      <c r="K703" s="105">
        <v>0</v>
      </c>
      <c r="L703" s="229" t="s">
        <v>51</v>
      </c>
      <c r="M703" s="651"/>
      <c r="N703" s="295"/>
    </row>
    <row r="704" spans="1:14" ht="41.25" customHeight="1" thickBot="1">
      <c r="A704" s="678"/>
      <c r="B704" s="679"/>
      <c r="C704" s="227"/>
      <c r="D704" s="6">
        <v>2019</v>
      </c>
      <c r="E704" s="228">
        <f t="shared" si="113"/>
        <v>281.9</v>
      </c>
      <c r="F704" s="105">
        <v>281.9</v>
      </c>
      <c r="G704" s="105">
        <f t="shared" si="114"/>
        <v>0</v>
      </c>
      <c r="H704" s="105"/>
      <c r="I704" s="105">
        <v>0</v>
      </c>
      <c r="J704" s="533">
        <v>0</v>
      </c>
      <c r="K704" s="105">
        <v>0</v>
      </c>
      <c r="L704" s="229" t="s">
        <v>51</v>
      </c>
      <c r="M704" s="651"/>
      <c r="N704" s="295"/>
    </row>
    <row r="705" spans="1:14" ht="45.75" customHeight="1" thickBot="1">
      <c r="A705" s="678"/>
      <c r="B705" s="679"/>
      <c r="C705" s="227"/>
      <c r="D705" s="6">
        <v>2020</v>
      </c>
      <c r="E705" s="228">
        <f t="shared" si="113"/>
        <v>216.2</v>
      </c>
      <c r="F705" s="105">
        <v>216.2</v>
      </c>
      <c r="G705" s="105">
        <f t="shared" si="114"/>
        <v>0</v>
      </c>
      <c r="H705" s="105"/>
      <c r="I705" s="105">
        <v>0</v>
      </c>
      <c r="J705" s="533">
        <v>0</v>
      </c>
      <c r="K705" s="105">
        <v>0</v>
      </c>
      <c r="L705" s="229" t="s">
        <v>51</v>
      </c>
      <c r="M705" s="651"/>
      <c r="N705" s="295"/>
    </row>
    <row r="706" spans="1:14" ht="45.75" customHeight="1" thickBot="1">
      <c r="A706" s="678"/>
      <c r="B706" s="679"/>
      <c r="C706" s="227"/>
      <c r="D706" s="6">
        <v>2021</v>
      </c>
      <c r="E706" s="228">
        <f t="shared" si="113"/>
        <v>203.5</v>
      </c>
      <c r="F706" s="105">
        <f>201.2+2.3</f>
        <v>203.5</v>
      </c>
      <c r="G706" s="105">
        <f t="shared" si="114"/>
        <v>0</v>
      </c>
      <c r="H706" s="105"/>
      <c r="I706" s="105">
        <v>0</v>
      </c>
      <c r="J706" s="533">
        <v>0</v>
      </c>
      <c r="K706" s="105">
        <v>0</v>
      </c>
      <c r="L706" s="229" t="s">
        <v>51</v>
      </c>
      <c r="M706" s="651"/>
      <c r="N706" s="295"/>
    </row>
    <row r="707" spans="1:14" ht="42" customHeight="1" thickBot="1">
      <c r="A707" s="678"/>
      <c r="B707" s="679"/>
      <c r="C707" s="227"/>
      <c r="D707" s="6">
        <v>2022</v>
      </c>
      <c r="E707" s="228">
        <f t="shared" si="113"/>
        <v>260</v>
      </c>
      <c r="F707" s="121">
        <v>260</v>
      </c>
      <c r="G707" s="121">
        <f t="shared" si="114"/>
        <v>0</v>
      </c>
      <c r="H707" s="121"/>
      <c r="I707" s="121">
        <v>0</v>
      </c>
      <c r="J707" s="545">
        <v>0</v>
      </c>
      <c r="K707" s="121">
        <v>0</v>
      </c>
      <c r="L707" s="37" t="s">
        <v>51</v>
      </c>
      <c r="M707" s="651"/>
      <c r="N707" s="295"/>
    </row>
    <row r="708" spans="1:14" ht="41.25" customHeight="1" thickBot="1">
      <c r="A708" s="678"/>
      <c r="B708" s="679"/>
      <c r="C708" s="227"/>
      <c r="D708" s="6">
        <v>2023</v>
      </c>
      <c r="E708" s="608">
        <f t="shared" si="113"/>
        <v>206.3</v>
      </c>
      <c r="F708" s="105">
        <v>206.3</v>
      </c>
      <c r="G708" s="105">
        <v>0</v>
      </c>
      <c r="H708" s="105">
        <v>0</v>
      </c>
      <c r="I708" s="105">
        <v>0</v>
      </c>
      <c r="J708" s="533">
        <v>0</v>
      </c>
      <c r="K708" s="105">
        <v>0</v>
      </c>
      <c r="L708" s="37" t="s">
        <v>51</v>
      </c>
      <c r="M708" s="651"/>
      <c r="N708" s="295"/>
    </row>
    <row r="709" spans="1:14" ht="42" customHeight="1" thickBot="1">
      <c r="A709" s="678"/>
      <c r="B709" s="679"/>
      <c r="C709" s="227"/>
      <c r="D709" s="6">
        <v>2024</v>
      </c>
      <c r="E709" s="228">
        <f t="shared" si="113"/>
        <v>206.3</v>
      </c>
      <c r="F709" s="451">
        <v>206.3</v>
      </c>
      <c r="G709" s="451">
        <v>0</v>
      </c>
      <c r="H709" s="451">
        <v>0</v>
      </c>
      <c r="I709" s="451">
        <v>0</v>
      </c>
      <c r="J709" s="546">
        <v>0</v>
      </c>
      <c r="K709" s="451">
        <v>0</v>
      </c>
      <c r="L709" s="37" t="s">
        <v>51</v>
      </c>
      <c r="M709" s="301"/>
      <c r="N709" s="295"/>
    </row>
    <row r="710" spans="1:14" ht="47.25" customHeight="1" thickBot="1">
      <c r="A710" s="131"/>
      <c r="B710" s="507"/>
      <c r="C710" s="508"/>
      <c r="D710" s="98">
        <v>2025</v>
      </c>
      <c r="E710" s="228">
        <f>F710+G710+J710+K710</f>
        <v>206.3</v>
      </c>
      <c r="F710" s="451">
        <v>206.3</v>
      </c>
      <c r="G710" s="451">
        <v>0</v>
      </c>
      <c r="H710" s="451">
        <v>0</v>
      </c>
      <c r="I710" s="451">
        <v>0</v>
      </c>
      <c r="J710" s="546">
        <v>0</v>
      </c>
      <c r="K710" s="451">
        <v>0</v>
      </c>
      <c r="L710" s="37" t="s">
        <v>51</v>
      </c>
      <c r="M710" s="301"/>
      <c r="N710" s="295"/>
    </row>
    <row r="711" spans="1:14" ht="44.25" customHeight="1" thickBot="1">
      <c r="A711" s="670" t="s">
        <v>257</v>
      </c>
      <c r="B711" s="671" t="s">
        <v>258</v>
      </c>
      <c r="C711" s="230"/>
      <c r="D711" s="98">
        <v>2017</v>
      </c>
      <c r="E711" s="231">
        <f t="shared" si="113"/>
        <v>96.8</v>
      </c>
      <c r="F711" s="231">
        <v>0</v>
      </c>
      <c r="G711" s="231">
        <f aca="true" t="shared" si="115" ref="G711:G716">H711+I711</f>
        <v>96.8</v>
      </c>
      <c r="H711" s="231"/>
      <c r="I711" s="231">
        <v>96.8</v>
      </c>
      <c r="J711" s="572">
        <v>0</v>
      </c>
      <c r="K711" s="231">
        <v>0</v>
      </c>
      <c r="L711" s="232" t="s">
        <v>51</v>
      </c>
      <c r="M711" s="651" t="s">
        <v>259</v>
      </c>
      <c r="N711" s="295"/>
    </row>
    <row r="712" spans="1:14" ht="51" customHeight="1" thickBot="1">
      <c r="A712" s="670"/>
      <c r="B712" s="671"/>
      <c r="C712" s="230"/>
      <c r="D712" s="6">
        <v>2018</v>
      </c>
      <c r="E712" s="105">
        <f t="shared" si="113"/>
        <v>127.3</v>
      </c>
      <c r="F712" s="105">
        <v>0</v>
      </c>
      <c r="G712" s="105">
        <f t="shared" si="115"/>
        <v>127.3</v>
      </c>
      <c r="H712" s="105"/>
      <c r="I712" s="105">
        <v>127.3</v>
      </c>
      <c r="J712" s="533">
        <v>0</v>
      </c>
      <c r="K712" s="105">
        <v>0</v>
      </c>
      <c r="L712" s="229" t="s">
        <v>51</v>
      </c>
      <c r="M712" s="651"/>
      <c r="N712" s="295"/>
    </row>
    <row r="713" spans="1:14" ht="41.25" customHeight="1" thickBot="1">
      <c r="A713" s="670"/>
      <c r="B713" s="671"/>
      <c r="C713" s="230"/>
      <c r="D713" s="6">
        <v>2019</v>
      </c>
      <c r="E713" s="105">
        <f t="shared" si="113"/>
        <v>132.7</v>
      </c>
      <c r="F713" s="105">
        <v>0</v>
      </c>
      <c r="G713" s="105">
        <f t="shared" si="115"/>
        <v>132.7</v>
      </c>
      <c r="H713" s="105"/>
      <c r="I713" s="105">
        <v>132.7</v>
      </c>
      <c r="J713" s="533">
        <v>0</v>
      </c>
      <c r="K713" s="105">
        <v>0</v>
      </c>
      <c r="L713" s="229" t="s">
        <v>51</v>
      </c>
      <c r="M713" s="651"/>
      <c r="N713" s="295"/>
    </row>
    <row r="714" spans="1:14" ht="45.75" customHeight="1" thickBot="1">
      <c r="A714" s="670"/>
      <c r="B714" s="671"/>
      <c r="C714" s="230"/>
      <c r="D714" s="6">
        <v>2020</v>
      </c>
      <c r="E714" s="105">
        <f t="shared" si="113"/>
        <v>134.4</v>
      </c>
      <c r="F714" s="105">
        <v>134.4</v>
      </c>
      <c r="G714" s="105">
        <f t="shared" si="115"/>
        <v>0</v>
      </c>
      <c r="H714" s="105"/>
      <c r="I714" s="105">
        <v>0</v>
      </c>
      <c r="J714" s="533">
        <v>0</v>
      </c>
      <c r="K714" s="105">
        <v>0</v>
      </c>
      <c r="L714" s="229" t="s">
        <v>51</v>
      </c>
      <c r="M714" s="651"/>
      <c r="N714" s="295"/>
    </row>
    <row r="715" spans="1:14" ht="44.25" customHeight="1" thickBot="1">
      <c r="A715" s="670"/>
      <c r="B715" s="671"/>
      <c r="C715" s="230"/>
      <c r="D715" s="6">
        <v>2021</v>
      </c>
      <c r="E715" s="105">
        <f t="shared" si="113"/>
        <v>288.7</v>
      </c>
      <c r="F715" s="105">
        <v>288.7</v>
      </c>
      <c r="G715" s="105">
        <f t="shared" si="115"/>
        <v>0</v>
      </c>
      <c r="H715" s="105"/>
      <c r="I715" s="105">
        <v>0</v>
      </c>
      <c r="J715" s="533">
        <v>0</v>
      </c>
      <c r="K715" s="105">
        <v>0</v>
      </c>
      <c r="L715" s="229" t="s">
        <v>51</v>
      </c>
      <c r="M715" s="651"/>
      <c r="N715" s="295"/>
    </row>
    <row r="716" spans="1:14" ht="44.25" customHeight="1" thickBot="1">
      <c r="A716" s="670"/>
      <c r="B716" s="671"/>
      <c r="C716" s="230"/>
      <c r="D716" s="6">
        <v>2022</v>
      </c>
      <c r="E716" s="105">
        <f t="shared" si="113"/>
        <v>292.1</v>
      </c>
      <c r="F716" s="105">
        <v>292.1</v>
      </c>
      <c r="G716" s="105">
        <f t="shared" si="115"/>
        <v>0</v>
      </c>
      <c r="H716" s="105"/>
      <c r="I716" s="105">
        <v>0</v>
      </c>
      <c r="J716" s="533">
        <v>0</v>
      </c>
      <c r="K716" s="105">
        <v>0</v>
      </c>
      <c r="L716" s="229" t="s">
        <v>51</v>
      </c>
      <c r="M716" s="651"/>
      <c r="N716" s="295"/>
    </row>
    <row r="717" spans="1:14" ht="43.5" customHeight="1" thickBot="1">
      <c r="A717" s="670"/>
      <c r="B717" s="671"/>
      <c r="C717" s="230"/>
      <c r="D717" s="158">
        <v>2023</v>
      </c>
      <c r="E717" s="121">
        <f t="shared" si="113"/>
        <v>367.1</v>
      </c>
      <c r="F717" s="121">
        <v>367.1</v>
      </c>
      <c r="G717" s="121">
        <v>0</v>
      </c>
      <c r="H717" s="121"/>
      <c r="I717" s="121">
        <v>0</v>
      </c>
      <c r="J717" s="545">
        <v>0</v>
      </c>
      <c r="K717" s="121">
        <v>0</v>
      </c>
      <c r="L717" s="37" t="s">
        <v>51</v>
      </c>
      <c r="M717" s="651"/>
      <c r="N717" s="295"/>
    </row>
    <row r="718" spans="1:14" ht="46.5" customHeight="1">
      <c r="A718" s="670"/>
      <c r="B718" s="671"/>
      <c r="C718" s="509"/>
      <c r="D718" s="391">
        <v>2024</v>
      </c>
      <c r="E718" s="393">
        <f t="shared" si="113"/>
        <v>367.1</v>
      </c>
      <c r="F718" s="393">
        <v>367.1</v>
      </c>
      <c r="G718" s="393">
        <v>0</v>
      </c>
      <c r="H718" s="393"/>
      <c r="I718" s="393">
        <v>0</v>
      </c>
      <c r="J718" s="547">
        <v>0</v>
      </c>
      <c r="K718" s="393">
        <v>0</v>
      </c>
      <c r="L718" s="301" t="s">
        <v>51</v>
      </c>
      <c r="M718" s="301"/>
      <c r="N718" s="295"/>
    </row>
    <row r="719" spans="1:14" ht="46.5" customHeight="1">
      <c r="A719" s="510"/>
      <c r="B719" s="382"/>
      <c r="C719" s="509"/>
      <c r="D719" s="391">
        <v>2025</v>
      </c>
      <c r="E719" s="393">
        <f>F719+G719+J719+K719</f>
        <v>367.1</v>
      </c>
      <c r="F719" s="393">
        <v>367.1</v>
      </c>
      <c r="G719" s="393">
        <v>0</v>
      </c>
      <c r="H719" s="393"/>
      <c r="I719" s="393">
        <v>0</v>
      </c>
      <c r="J719" s="547">
        <v>0</v>
      </c>
      <c r="K719" s="393">
        <v>0</v>
      </c>
      <c r="L719" s="301" t="s">
        <v>51</v>
      </c>
      <c r="M719" s="301"/>
      <c r="N719" s="295"/>
    </row>
    <row r="720" spans="1:14" ht="54.75" customHeight="1">
      <c r="A720" s="672" t="s">
        <v>260</v>
      </c>
      <c r="B720" s="671" t="s">
        <v>261</v>
      </c>
      <c r="C720" s="103"/>
      <c r="D720" s="98">
        <v>2017</v>
      </c>
      <c r="E720" s="119">
        <f t="shared" si="113"/>
        <v>5391.1</v>
      </c>
      <c r="F720" s="119">
        <v>5391.1</v>
      </c>
      <c r="G720" s="119">
        <f aca="true" t="shared" si="116" ref="G720:G730">H720+I720</f>
        <v>0</v>
      </c>
      <c r="H720" s="119"/>
      <c r="I720" s="119">
        <v>0</v>
      </c>
      <c r="J720" s="543">
        <v>0</v>
      </c>
      <c r="K720" s="119">
        <v>0</v>
      </c>
      <c r="L720" s="226" t="s">
        <v>51</v>
      </c>
      <c r="M720" s="651" t="s">
        <v>262</v>
      </c>
      <c r="N720" s="295"/>
    </row>
    <row r="721" spans="1:22" ht="43.5" customHeight="1">
      <c r="A721" s="672"/>
      <c r="B721" s="671"/>
      <c r="C721" s="103"/>
      <c r="D721" s="6">
        <v>2018</v>
      </c>
      <c r="E721" s="105">
        <f t="shared" si="113"/>
        <v>5870.4</v>
      </c>
      <c r="F721" s="105">
        <v>5870.4</v>
      </c>
      <c r="G721" s="105">
        <f t="shared" si="116"/>
        <v>0</v>
      </c>
      <c r="H721" s="105"/>
      <c r="I721" s="105">
        <v>0</v>
      </c>
      <c r="J721" s="533">
        <v>0</v>
      </c>
      <c r="K721" s="105">
        <v>0</v>
      </c>
      <c r="L721" s="229" t="s">
        <v>51</v>
      </c>
      <c r="M721" s="651"/>
      <c r="N721" s="295"/>
      <c r="R721" s="36"/>
      <c r="S721" s="36"/>
      <c r="T721" s="36"/>
      <c r="U721" s="36"/>
      <c r="V721" s="36"/>
    </row>
    <row r="722" spans="1:22" ht="48.75" customHeight="1">
      <c r="A722" s="672"/>
      <c r="B722" s="671"/>
      <c r="C722" s="234"/>
      <c r="D722" s="6">
        <v>2019</v>
      </c>
      <c r="E722" s="105">
        <f t="shared" si="113"/>
        <v>6295.7</v>
      </c>
      <c r="F722" s="105">
        <f>5735.3+560.4</f>
        <v>6295.7</v>
      </c>
      <c r="G722" s="105">
        <f t="shared" si="116"/>
        <v>0</v>
      </c>
      <c r="H722" s="105"/>
      <c r="I722" s="105">
        <v>0</v>
      </c>
      <c r="J722" s="533">
        <v>0</v>
      </c>
      <c r="K722" s="105">
        <v>0</v>
      </c>
      <c r="L722" s="229" t="s">
        <v>51</v>
      </c>
      <c r="M722" s="651"/>
      <c r="N722" s="295"/>
      <c r="R722" s="36"/>
      <c r="S722" s="36"/>
      <c r="T722" s="36"/>
      <c r="U722" s="36"/>
      <c r="V722" s="36"/>
    </row>
    <row r="723" spans="1:22" ht="52.5" customHeight="1">
      <c r="A723" s="672"/>
      <c r="B723" s="671"/>
      <c r="C723" s="234"/>
      <c r="D723" s="6">
        <v>2020</v>
      </c>
      <c r="E723" s="105">
        <f t="shared" si="113"/>
        <v>5046.599999999999</v>
      </c>
      <c r="F723" s="105">
        <f>6203.9-1157.3</f>
        <v>5046.599999999999</v>
      </c>
      <c r="G723" s="105">
        <f t="shared" si="116"/>
        <v>0</v>
      </c>
      <c r="H723" s="105"/>
      <c r="I723" s="105">
        <v>0</v>
      </c>
      <c r="J723" s="533">
        <v>0</v>
      </c>
      <c r="K723" s="105">
        <v>0</v>
      </c>
      <c r="L723" s="229" t="s">
        <v>51</v>
      </c>
      <c r="M723" s="651"/>
      <c r="N723" s="295"/>
      <c r="R723" s="36"/>
      <c r="S723" s="36"/>
      <c r="T723" s="36"/>
      <c r="U723" s="36"/>
      <c r="V723" s="36"/>
    </row>
    <row r="724" spans="1:22" ht="53.25" customHeight="1">
      <c r="A724" s="672"/>
      <c r="B724" s="671"/>
      <c r="C724" s="234"/>
      <c r="D724" s="6">
        <v>2021</v>
      </c>
      <c r="E724" s="105">
        <f t="shared" si="113"/>
        <v>6124.2</v>
      </c>
      <c r="F724" s="105">
        <f>5858.2+266</f>
        <v>6124.2</v>
      </c>
      <c r="G724" s="105">
        <f t="shared" si="116"/>
        <v>0</v>
      </c>
      <c r="H724" s="105"/>
      <c r="I724" s="105">
        <v>0</v>
      </c>
      <c r="J724" s="533">
        <v>0</v>
      </c>
      <c r="K724" s="105">
        <v>0</v>
      </c>
      <c r="L724" s="229" t="s">
        <v>51</v>
      </c>
      <c r="M724" s="651"/>
      <c r="N724" s="295"/>
      <c r="R724" s="36"/>
      <c r="S724" s="36"/>
      <c r="T724" s="36"/>
      <c r="U724" s="36"/>
      <c r="V724" s="36"/>
    </row>
    <row r="725" spans="1:22" ht="48" customHeight="1">
      <c r="A725" s="672"/>
      <c r="B725" s="671"/>
      <c r="C725" s="234"/>
      <c r="D725" s="6">
        <v>2022</v>
      </c>
      <c r="E725" s="105">
        <f t="shared" si="113"/>
        <v>5911.6</v>
      </c>
      <c r="F725" s="105">
        <v>5911.6</v>
      </c>
      <c r="G725" s="105">
        <f t="shared" si="116"/>
        <v>0</v>
      </c>
      <c r="H725" s="105"/>
      <c r="I725" s="105">
        <v>0</v>
      </c>
      <c r="J725" s="533">
        <v>0</v>
      </c>
      <c r="K725" s="105">
        <v>0</v>
      </c>
      <c r="L725" s="229" t="s">
        <v>51</v>
      </c>
      <c r="M725" s="651"/>
      <c r="N725" s="295"/>
      <c r="R725" s="36"/>
      <c r="S725" s="36"/>
      <c r="T725" s="36"/>
      <c r="U725" s="36"/>
      <c r="V725" s="36"/>
    </row>
    <row r="726" spans="1:22" ht="58.5" customHeight="1">
      <c r="A726" s="672"/>
      <c r="B726" s="671"/>
      <c r="C726" s="154"/>
      <c r="D726" s="158">
        <v>2023</v>
      </c>
      <c r="E726" s="121">
        <f t="shared" si="113"/>
        <v>5911.6</v>
      </c>
      <c r="F726" s="121">
        <v>5911.6</v>
      </c>
      <c r="G726" s="121">
        <f t="shared" si="116"/>
        <v>0</v>
      </c>
      <c r="H726" s="121"/>
      <c r="I726" s="121">
        <v>0</v>
      </c>
      <c r="J726" s="545">
        <v>0</v>
      </c>
      <c r="K726" s="121">
        <v>0</v>
      </c>
      <c r="L726" s="37" t="s">
        <v>51</v>
      </c>
      <c r="M726" s="651"/>
      <c r="N726" s="295"/>
      <c r="R726" s="36"/>
      <c r="S726" s="36"/>
      <c r="T726" s="36"/>
      <c r="U726" s="36"/>
      <c r="V726" s="36"/>
    </row>
    <row r="727" spans="1:22" ht="50.25" customHeight="1">
      <c r="A727" s="672"/>
      <c r="B727" s="673"/>
      <c r="C727" s="329"/>
      <c r="D727" s="391">
        <v>2024</v>
      </c>
      <c r="E727" s="393">
        <f t="shared" si="113"/>
        <v>5911.6</v>
      </c>
      <c r="F727" s="393">
        <v>5911.6</v>
      </c>
      <c r="G727" s="393">
        <f t="shared" si="116"/>
        <v>0</v>
      </c>
      <c r="H727" s="393"/>
      <c r="I727" s="393">
        <v>0</v>
      </c>
      <c r="J727" s="547">
        <v>0</v>
      </c>
      <c r="K727" s="393">
        <v>0</v>
      </c>
      <c r="L727" s="301" t="s">
        <v>51</v>
      </c>
      <c r="M727" s="301"/>
      <c r="N727" s="295"/>
      <c r="R727" s="36"/>
      <c r="S727" s="36"/>
      <c r="T727" s="36"/>
      <c r="U727" s="36"/>
      <c r="V727" s="36"/>
    </row>
    <row r="728" spans="1:22" ht="50.25" customHeight="1">
      <c r="A728" s="511"/>
      <c r="B728" s="509"/>
      <c r="C728" s="329"/>
      <c r="D728" s="391">
        <v>2025</v>
      </c>
      <c r="E728" s="393">
        <f>F728+G728+J728+K728</f>
        <v>5911.6</v>
      </c>
      <c r="F728" s="393">
        <v>5911.6</v>
      </c>
      <c r="G728" s="393">
        <f>H728+I728</f>
        <v>0</v>
      </c>
      <c r="H728" s="393"/>
      <c r="I728" s="393">
        <v>0</v>
      </c>
      <c r="J728" s="547">
        <v>0</v>
      </c>
      <c r="K728" s="393">
        <v>0</v>
      </c>
      <c r="L728" s="301" t="s">
        <v>51</v>
      </c>
      <c r="M728" s="301"/>
      <c r="N728" s="295"/>
      <c r="R728" s="36"/>
      <c r="S728" s="36"/>
      <c r="T728" s="36"/>
      <c r="U728" s="36"/>
      <c r="V728" s="36"/>
    </row>
    <row r="729" spans="1:22" ht="30.75" customHeight="1">
      <c r="A729" s="662"/>
      <c r="B729" s="663" t="s">
        <v>263</v>
      </c>
      <c r="C729" s="513"/>
      <c r="D729" s="514">
        <v>2017</v>
      </c>
      <c r="E729" s="515">
        <f t="shared" si="113"/>
        <v>5780.3</v>
      </c>
      <c r="F729" s="515">
        <f aca="true" t="shared" si="117" ref="F729:F734">F702+F711+F720</f>
        <v>5683.5</v>
      </c>
      <c r="G729" s="515">
        <f t="shared" si="116"/>
        <v>96.8</v>
      </c>
      <c r="H729" s="515">
        <f>H702+H711+H720</f>
        <v>0</v>
      </c>
      <c r="I729" s="515">
        <f>I702+I711+I720</f>
        <v>96.8</v>
      </c>
      <c r="J729" s="577">
        <f>J702+J711+J720</f>
        <v>0</v>
      </c>
      <c r="K729" s="516">
        <f>K702+K711+K720</f>
        <v>0</v>
      </c>
      <c r="L729" s="651"/>
      <c r="M729" s="651" t="s">
        <v>292</v>
      </c>
      <c r="N729" s="295"/>
      <c r="R729" s="36"/>
      <c r="S729" s="36"/>
      <c r="T729" s="36"/>
      <c r="U729" s="36"/>
      <c r="V729" s="36"/>
    </row>
    <row r="730" spans="1:22" ht="30.75" customHeight="1">
      <c r="A730" s="662"/>
      <c r="B730" s="663"/>
      <c r="C730" s="517"/>
      <c r="D730" s="57">
        <v>2018</v>
      </c>
      <c r="E730" s="65">
        <f t="shared" si="113"/>
        <v>6230.9</v>
      </c>
      <c r="F730" s="65">
        <f t="shared" si="117"/>
        <v>6103.599999999999</v>
      </c>
      <c r="G730" s="65">
        <f t="shared" si="116"/>
        <v>127.3</v>
      </c>
      <c r="H730" s="65">
        <f aca="true" t="shared" si="118" ref="H730:I734">H703+H712+H721</f>
        <v>0</v>
      </c>
      <c r="I730" s="65">
        <f t="shared" si="118"/>
        <v>127.3</v>
      </c>
      <c r="J730" s="533">
        <v>0</v>
      </c>
      <c r="K730" s="518">
        <v>0</v>
      </c>
      <c r="L730" s="651"/>
      <c r="M730" s="651"/>
      <c r="N730" s="295"/>
      <c r="R730" s="36"/>
      <c r="S730" s="36"/>
      <c r="T730" s="36"/>
      <c r="U730" s="36"/>
      <c r="V730" s="36"/>
    </row>
    <row r="731" spans="1:22" ht="30.75" customHeight="1">
      <c r="A731" s="662"/>
      <c r="B731" s="663"/>
      <c r="C731" s="517"/>
      <c r="D731" s="57">
        <v>2019</v>
      </c>
      <c r="E731" s="65">
        <f>E704+E713+E722</f>
        <v>6710.3</v>
      </c>
      <c r="F731" s="65">
        <f t="shared" si="117"/>
        <v>6577.599999999999</v>
      </c>
      <c r="G731" s="65">
        <f>G704+G713+G722</f>
        <v>132.7</v>
      </c>
      <c r="H731" s="65">
        <f t="shared" si="118"/>
        <v>0</v>
      </c>
      <c r="I731" s="65">
        <f t="shared" si="118"/>
        <v>132.7</v>
      </c>
      <c r="J731" s="533">
        <f aca="true" t="shared" si="119" ref="J731:K734">J704+J713+J722</f>
        <v>0</v>
      </c>
      <c r="K731" s="518">
        <f t="shared" si="119"/>
        <v>0</v>
      </c>
      <c r="L731" s="651"/>
      <c r="M731" s="651"/>
      <c r="N731" s="295"/>
      <c r="R731" s="36"/>
      <c r="S731" s="36"/>
      <c r="T731" s="36"/>
      <c r="U731" s="36"/>
      <c r="V731" s="36"/>
    </row>
    <row r="732" spans="1:22" ht="30.75" customHeight="1">
      <c r="A732" s="662"/>
      <c r="B732" s="663"/>
      <c r="C732" s="519"/>
      <c r="D732" s="57">
        <v>2020</v>
      </c>
      <c r="E732" s="65">
        <f>E705+E714+E723</f>
        <v>5397.2</v>
      </c>
      <c r="F732" s="65">
        <f t="shared" si="117"/>
        <v>5397.2</v>
      </c>
      <c r="G732" s="65">
        <f>G705+G714+G723</f>
        <v>0</v>
      </c>
      <c r="H732" s="65">
        <f t="shared" si="118"/>
        <v>0</v>
      </c>
      <c r="I732" s="65">
        <f t="shared" si="118"/>
        <v>0</v>
      </c>
      <c r="J732" s="533">
        <f t="shared" si="119"/>
        <v>0</v>
      </c>
      <c r="K732" s="518">
        <f t="shared" si="119"/>
        <v>0</v>
      </c>
      <c r="L732" s="651"/>
      <c r="M732" s="651"/>
      <c r="N732" s="295"/>
      <c r="R732" s="36"/>
      <c r="S732" s="36"/>
      <c r="T732" s="36"/>
      <c r="U732" s="36"/>
      <c r="V732" s="36"/>
    </row>
    <row r="733" spans="1:22" ht="30.75" customHeight="1" thickBot="1">
      <c r="A733" s="662"/>
      <c r="B733" s="663"/>
      <c r="C733" s="519"/>
      <c r="D733" s="520">
        <v>2021</v>
      </c>
      <c r="E733" s="71">
        <f>E706+E715+E724</f>
        <v>6616.4</v>
      </c>
      <c r="F733" s="71">
        <f t="shared" si="117"/>
        <v>6616.4</v>
      </c>
      <c r="G733" s="71">
        <f>G706+G715+G724</f>
        <v>0</v>
      </c>
      <c r="H733" s="71">
        <f t="shared" si="118"/>
        <v>0</v>
      </c>
      <c r="I733" s="71">
        <f t="shared" si="118"/>
        <v>0</v>
      </c>
      <c r="J733" s="544">
        <f t="shared" si="119"/>
        <v>0</v>
      </c>
      <c r="K733" s="521">
        <f t="shared" si="119"/>
        <v>0</v>
      </c>
      <c r="L733" s="651"/>
      <c r="M733" s="651"/>
      <c r="N733" s="295"/>
      <c r="R733" s="36"/>
      <c r="S733" s="36"/>
      <c r="T733" s="36"/>
      <c r="U733" s="36"/>
      <c r="V733" s="36"/>
    </row>
    <row r="734" spans="1:22" ht="30.75" customHeight="1" thickBot="1">
      <c r="A734" s="662"/>
      <c r="B734" s="663"/>
      <c r="C734" s="519"/>
      <c r="D734" s="520">
        <v>2022</v>
      </c>
      <c r="E734" s="71">
        <f>E707+E716+E725</f>
        <v>6463.700000000001</v>
      </c>
      <c r="F734" s="71">
        <f t="shared" si="117"/>
        <v>6463.700000000001</v>
      </c>
      <c r="G734" s="71">
        <f>G707+G716+G725</f>
        <v>0</v>
      </c>
      <c r="H734" s="71">
        <f t="shared" si="118"/>
        <v>0</v>
      </c>
      <c r="I734" s="71">
        <f t="shared" si="118"/>
        <v>0</v>
      </c>
      <c r="J734" s="544">
        <f t="shared" si="119"/>
        <v>0</v>
      </c>
      <c r="K734" s="521">
        <f t="shared" si="119"/>
        <v>0</v>
      </c>
      <c r="L734" s="651"/>
      <c r="M734" s="651"/>
      <c r="N734" s="295"/>
      <c r="R734" s="36"/>
      <c r="S734" s="36"/>
      <c r="T734" s="36"/>
      <c r="U734" s="36"/>
      <c r="V734" s="36"/>
    </row>
    <row r="735" spans="1:14" ht="30.75" customHeight="1" thickBot="1">
      <c r="A735" s="662"/>
      <c r="B735" s="663"/>
      <c r="C735" s="519"/>
      <c r="D735" s="72">
        <v>2023</v>
      </c>
      <c r="E735" s="32">
        <f aca="true" t="shared" si="120" ref="E735:K737">E726+E717+E708</f>
        <v>6485.000000000001</v>
      </c>
      <c r="F735" s="32">
        <f t="shared" si="120"/>
        <v>6485.000000000001</v>
      </c>
      <c r="G735" s="32">
        <f t="shared" si="120"/>
        <v>0</v>
      </c>
      <c r="H735" s="32">
        <f t="shared" si="120"/>
        <v>0</v>
      </c>
      <c r="I735" s="32">
        <f t="shared" si="120"/>
        <v>0</v>
      </c>
      <c r="J735" s="542">
        <f t="shared" si="120"/>
        <v>0</v>
      </c>
      <c r="K735" s="429">
        <f t="shared" si="120"/>
        <v>0</v>
      </c>
      <c r="L735" s="651"/>
      <c r="M735" s="651"/>
      <c r="N735" s="295"/>
    </row>
    <row r="736" spans="1:14" ht="30.75" customHeight="1" thickBot="1">
      <c r="A736" s="662"/>
      <c r="B736" s="663"/>
      <c r="C736" s="522"/>
      <c r="D736" s="523">
        <v>2024</v>
      </c>
      <c r="E736" s="443">
        <f t="shared" si="120"/>
        <v>6485.000000000001</v>
      </c>
      <c r="F736" s="443">
        <f t="shared" si="120"/>
        <v>6485.000000000001</v>
      </c>
      <c r="G736" s="443">
        <f t="shared" si="120"/>
        <v>0</v>
      </c>
      <c r="H736" s="443">
        <f t="shared" si="120"/>
        <v>0</v>
      </c>
      <c r="I736" s="443">
        <f t="shared" si="120"/>
        <v>0</v>
      </c>
      <c r="J736" s="578">
        <f t="shared" si="120"/>
        <v>0</v>
      </c>
      <c r="K736" s="455">
        <f t="shared" si="120"/>
        <v>0</v>
      </c>
      <c r="L736" s="301"/>
      <c r="M736" s="301"/>
      <c r="N736" s="295"/>
    </row>
    <row r="737" spans="1:14" ht="30.75" customHeight="1">
      <c r="A737" s="389"/>
      <c r="B737" s="512"/>
      <c r="C737" s="524"/>
      <c r="D737" s="525">
        <v>2025</v>
      </c>
      <c r="E737" s="526">
        <f t="shared" si="120"/>
        <v>6485.000000000001</v>
      </c>
      <c r="F737" s="526">
        <f t="shared" si="120"/>
        <v>6485.000000000001</v>
      </c>
      <c r="G737" s="526">
        <f t="shared" si="120"/>
        <v>0</v>
      </c>
      <c r="H737" s="526">
        <f t="shared" si="120"/>
        <v>0</v>
      </c>
      <c r="I737" s="526">
        <f t="shared" si="120"/>
        <v>0</v>
      </c>
      <c r="J737" s="579">
        <f t="shared" si="120"/>
        <v>0</v>
      </c>
      <c r="K737" s="527">
        <f t="shared" si="120"/>
        <v>0</v>
      </c>
      <c r="L737" s="301"/>
      <c r="M737" s="301"/>
      <c r="N737" s="295"/>
    </row>
    <row r="738" spans="1:14" ht="30.75" customHeight="1">
      <c r="A738" s="664" t="s">
        <v>264</v>
      </c>
      <c r="B738" s="664"/>
      <c r="C738" s="664"/>
      <c r="D738" s="664"/>
      <c r="E738" s="664"/>
      <c r="F738" s="664"/>
      <c r="G738" s="67"/>
      <c r="H738" s="67"/>
      <c r="I738" s="67"/>
      <c r="J738" s="580"/>
      <c r="K738" s="67"/>
      <c r="L738" s="67"/>
      <c r="M738" s="418"/>
      <c r="N738" s="331"/>
    </row>
    <row r="739" spans="1:14" ht="30.75" customHeight="1">
      <c r="A739" s="665" t="s">
        <v>265</v>
      </c>
      <c r="B739" s="665"/>
      <c r="C739" s="665"/>
      <c r="D739" s="665"/>
      <c r="E739" s="665"/>
      <c r="F739" s="665"/>
      <c r="G739" s="73"/>
      <c r="H739" s="73"/>
      <c r="I739" s="73"/>
      <c r="J739" s="581"/>
      <c r="K739" s="73"/>
      <c r="L739" s="73"/>
      <c r="M739" s="335"/>
      <c r="N739" s="332"/>
    </row>
    <row r="740" spans="1:14" ht="30.75" customHeight="1" thickBot="1">
      <c r="A740" s="74" t="s">
        <v>228</v>
      </c>
      <c r="B740" s="69"/>
      <c r="C740" s="75"/>
      <c r="D740" s="73"/>
      <c r="E740" s="73"/>
      <c r="F740" s="73"/>
      <c r="G740" s="73"/>
      <c r="H740" s="73"/>
      <c r="I740" s="73"/>
      <c r="J740" s="581"/>
      <c r="K740" s="73"/>
      <c r="L740" s="73"/>
      <c r="M740" s="335"/>
      <c r="N740" s="332"/>
    </row>
    <row r="741" spans="1:17" ht="30.75" customHeight="1" thickBot="1">
      <c r="A741" s="652" t="s">
        <v>266</v>
      </c>
      <c r="B741" s="653" t="s">
        <v>267</v>
      </c>
      <c r="C741" s="4"/>
      <c r="D741" s="396">
        <v>2021</v>
      </c>
      <c r="E741" s="397">
        <f>F741+G741+J741+K741</f>
        <v>567.3552</v>
      </c>
      <c r="F741" s="397"/>
      <c r="G741" s="397">
        <f>H741+I741</f>
        <v>0</v>
      </c>
      <c r="H741" s="397"/>
      <c r="I741" s="397">
        <v>0</v>
      </c>
      <c r="J741" s="542">
        <v>567.3552</v>
      </c>
      <c r="K741" s="398">
        <v>0</v>
      </c>
      <c r="L741" s="666" t="s">
        <v>268</v>
      </c>
      <c r="M741" s="654"/>
      <c r="N741" s="361"/>
      <c r="O741" s="362"/>
      <c r="P741" s="362"/>
      <c r="Q741" s="362"/>
    </row>
    <row r="742" spans="1:17" ht="22.5" customHeight="1" thickBot="1">
      <c r="A742" s="652"/>
      <c r="B742" s="653"/>
      <c r="C742" s="4"/>
      <c r="D742" s="396">
        <v>2022</v>
      </c>
      <c r="E742" s="397">
        <f>F742+G742+J742+K742</f>
        <v>2632.33833</v>
      </c>
      <c r="F742" s="397"/>
      <c r="G742" s="397">
        <f>H742+I742</f>
        <v>0</v>
      </c>
      <c r="H742" s="397"/>
      <c r="I742" s="397">
        <v>0</v>
      </c>
      <c r="J742" s="542">
        <v>2632.33833</v>
      </c>
      <c r="K742" s="398">
        <v>0</v>
      </c>
      <c r="L742" s="667"/>
      <c r="M742" s="654"/>
      <c r="N742" s="361"/>
      <c r="O742" s="362"/>
      <c r="P742" s="362"/>
      <c r="Q742" s="362"/>
    </row>
    <row r="743" spans="1:14" ht="26.25" customHeight="1" thickBot="1">
      <c r="A743" s="652"/>
      <c r="B743" s="653"/>
      <c r="C743" s="4"/>
      <c r="D743" s="396">
        <v>2023</v>
      </c>
      <c r="E743" s="397">
        <f>F743+G743+J743+K743</f>
        <v>2862.3959999999997</v>
      </c>
      <c r="F743" s="397"/>
      <c r="G743" s="397">
        <f>H743+I743</f>
        <v>0</v>
      </c>
      <c r="H743" s="397"/>
      <c r="I743" s="397">
        <v>0</v>
      </c>
      <c r="J743" s="542">
        <f>2198.461+663.935</f>
        <v>2862.3959999999997</v>
      </c>
      <c r="K743" s="398">
        <v>0</v>
      </c>
      <c r="L743" s="667"/>
      <c r="M743" s="654"/>
      <c r="N743" s="249"/>
    </row>
    <row r="744" spans="1:14" ht="24" customHeight="1" thickBot="1">
      <c r="A744" s="385"/>
      <c r="B744" s="528"/>
      <c r="C744" s="4"/>
      <c r="D744" s="396">
        <v>2024</v>
      </c>
      <c r="E744" s="397">
        <f>F744+G744+J744+K744</f>
        <v>2862.3959999999997</v>
      </c>
      <c r="F744" s="397"/>
      <c r="G744" s="397">
        <f>H744+I744</f>
        <v>0</v>
      </c>
      <c r="H744" s="397"/>
      <c r="I744" s="397">
        <v>0</v>
      </c>
      <c r="J744" s="542">
        <f>2198.461+663.935</f>
        <v>2862.3959999999997</v>
      </c>
      <c r="K744" s="398">
        <v>0</v>
      </c>
      <c r="L744" s="668"/>
      <c r="M744" s="242"/>
      <c r="N744" s="249"/>
    </row>
    <row r="745" spans="1:14" ht="20.25" customHeight="1" thickBot="1">
      <c r="A745" s="385"/>
      <c r="B745" s="528"/>
      <c r="C745" s="4"/>
      <c r="D745" s="396">
        <v>2025</v>
      </c>
      <c r="E745" s="397">
        <f>F745+G745+J745+K745</f>
        <v>2862.3959999999997</v>
      </c>
      <c r="F745" s="397"/>
      <c r="G745" s="397">
        <f>H745+I745</f>
        <v>0</v>
      </c>
      <c r="H745" s="397"/>
      <c r="I745" s="397">
        <v>0</v>
      </c>
      <c r="J745" s="542">
        <f>2198.461+663.935</f>
        <v>2862.3959999999997</v>
      </c>
      <c r="K745" s="398">
        <v>0</v>
      </c>
      <c r="L745" s="669"/>
      <c r="M745" s="242"/>
      <c r="N745" s="249"/>
    </row>
    <row r="746" spans="1:14" ht="21.75" customHeight="1" thickBot="1">
      <c r="A746" s="655"/>
      <c r="B746" s="659" t="s">
        <v>269</v>
      </c>
      <c r="C746" s="235"/>
      <c r="D746" s="72">
        <v>2021</v>
      </c>
      <c r="E746" s="32">
        <f aca="true" t="shared" si="121" ref="E746:K748">E741</f>
        <v>567.3552</v>
      </c>
      <c r="F746" s="32">
        <f t="shared" si="121"/>
        <v>0</v>
      </c>
      <c r="G746" s="32">
        <f t="shared" si="121"/>
        <v>0</v>
      </c>
      <c r="H746" s="32">
        <f t="shared" si="121"/>
        <v>0</v>
      </c>
      <c r="I746" s="32">
        <f t="shared" si="121"/>
        <v>0</v>
      </c>
      <c r="J746" s="542">
        <f t="shared" si="121"/>
        <v>567.3552</v>
      </c>
      <c r="K746" s="32">
        <f t="shared" si="121"/>
        <v>0</v>
      </c>
      <c r="L746" s="660"/>
      <c r="M746" s="661"/>
      <c r="N746" s="249"/>
    </row>
    <row r="747" spans="1:14" ht="22.5" customHeight="1" thickBot="1">
      <c r="A747" s="655"/>
      <c r="B747" s="659"/>
      <c r="C747" s="235"/>
      <c r="D747" s="72">
        <v>2022</v>
      </c>
      <c r="E747" s="32">
        <f t="shared" si="121"/>
        <v>2632.33833</v>
      </c>
      <c r="F747" s="32">
        <f t="shared" si="121"/>
        <v>0</v>
      </c>
      <c r="G747" s="32">
        <f t="shared" si="121"/>
        <v>0</v>
      </c>
      <c r="H747" s="32">
        <f t="shared" si="121"/>
        <v>0</v>
      </c>
      <c r="I747" s="32">
        <f t="shared" si="121"/>
        <v>0</v>
      </c>
      <c r="J747" s="542">
        <f t="shared" si="121"/>
        <v>2632.33833</v>
      </c>
      <c r="K747" s="32">
        <f t="shared" si="121"/>
        <v>0</v>
      </c>
      <c r="L747" s="660"/>
      <c r="M747" s="661"/>
      <c r="N747" s="249"/>
    </row>
    <row r="748" spans="1:14" ht="22.5" customHeight="1" thickBot="1">
      <c r="A748" s="655"/>
      <c r="B748" s="659"/>
      <c r="C748" s="235"/>
      <c r="D748" s="523">
        <v>2023</v>
      </c>
      <c r="E748" s="443">
        <f t="shared" si="121"/>
        <v>2862.3959999999997</v>
      </c>
      <c r="F748" s="443">
        <f t="shared" si="121"/>
        <v>0</v>
      </c>
      <c r="G748" s="443">
        <f t="shared" si="121"/>
        <v>0</v>
      </c>
      <c r="H748" s="443">
        <f t="shared" si="121"/>
        <v>0</v>
      </c>
      <c r="I748" s="443">
        <f t="shared" si="121"/>
        <v>0</v>
      </c>
      <c r="J748" s="578">
        <f t="shared" si="121"/>
        <v>2862.3959999999997</v>
      </c>
      <c r="K748" s="443">
        <f t="shared" si="121"/>
        <v>0</v>
      </c>
      <c r="L748" s="660"/>
      <c r="M748" s="661"/>
      <c r="N748" s="249"/>
    </row>
    <row r="749" spans="1:14" ht="22.5" customHeight="1" thickBot="1">
      <c r="A749" s="655"/>
      <c r="B749" s="659"/>
      <c r="C749" s="609"/>
      <c r="D749" s="523">
        <v>2024</v>
      </c>
      <c r="E749" s="443">
        <f>E744</f>
        <v>2862.3959999999997</v>
      </c>
      <c r="F749" s="443">
        <f aca="true" t="shared" si="122" ref="F749:I750">F746</f>
        <v>0</v>
      </c>
      <c r="G749" s="443">
        <f t="shared" si="122"/>
        <v>0</v>
      </c>
      <c r="H749" s="443">
        <f t="shared" si="122"/>
        <v>0</v>
      </c>
      <c r="I749" s="443">
        <f t="shared" si="122"/>
        <v>0</v>
      </c>
      <c r="J749" s="578">
        <f>J744</f>
        <v>2862.3959999999997</v>
      </c>
      <c r="K749" s="443">
        <f>K746</f>
        <v>0</v>
      </c>
      <c r="L749" s="610"/>
      <c r="M749" s="242"/>
      <c r="N749" s="249"/>
    </row>
    <row r="750" spans="1:14" ht="24" customHeight="1">
      <c r="A750" s="385"/>
      <c r="B750" s="611"/>
      <c r="C750" s="612"/>
      <c r="D750" s="523">
        <v>2025</v>
      </c>
      <c r="E750" s="443">
        <f>E745</f>
        <v>2862.3959999999997</v>
      </c>
      <c r="F750" s="443">
        <f t="shared" si="122"/>
        <v>0</v>
      </c>
      <c r="G750" s="443">
        <f t="shared" si="122"/>
        <v>0</v>
      </c>
      <c r="H750" s="443">
        <f t="shared" si="122"/>
        <v>0</v>
      </c>
      <c r="I750" s="443">
        <f t="shared" si="122"/>
        <v>0</v>
      </c>
      <c r="J750" s="578">
        <f>J745</f>
        <v>2862.3959999999997</v>
      </c>
      <c r="K750" s="443">
        <f>K747</f>
        <v>0</v>
      </c>
      <c r="L750" s="487"/>
      <c r="M750" s="613"/>
      <c r="N750" s="249"/>
    </row>
    <row r="751" spans="1:14" ht="49.5" customHeight="1">
      <c r="A751" s="648"/>
      <c r="B751" s="649" t="s">
        <v>270</v>
      </c>
      <c r="C751" s="400"/>
      <c r="D751" s="298" t="s">
        <v>348</v>
      </c>
      <c r="E751" s="401">
        <f>SUM(E752:E772)</f>
        <v>2573418.00632</v>
      </c>
      <c r="F751" s="401">
        <f aca="true" t="shared" si="123" ref="F751:K751">SUM(F752:F772)</f>
        <v>1428154.8</v>
      </c>
      <c r="G751" s="401">
        <f t="shared" si="123"/>
        <v>64875.973</v>
      </c>
      <c r="H751" s="401">
        <f t="shared" si="123"/>
        <v>40046.2</v>
      </c>
      <c r="I751" s="401">
        <f t="shared" si="123"/>
        <v>24829.772999999997</v>
      </c>
      <c r="J751" s="401">
        <f>J752+J753+J754+J755+J756+J757+J770+J771+J772</f>
        <v>1080387.23332</v>
      </c>
      <c r="K751" s="401">
        <f t="shared" si="123"/>
        <v>0</v>
      </c>
      <c r="L751" s="650"/>
      <c r="M751" s="651"/>
      <c r="N751" s="295"/>
    </row>
    <row r="752" spans="1:14" ht="28.5" customHeight="1">
      <c r="A752" s="648"/>
      <c r="B752" s="649"/>
      <c r="C752" s="400"/>
      <c r="D752" s="298">
        <v>2017</v>
      </c>
      <c r="E752" s="401">
        <f>F752+G752+J752+K752</f>
        <v>259771.653</v>
      </c>
      <c r="F752" s="401">
        <f aca="true" t="shared" si="124" ref="F752:K752">F266+F537+F678+F690+F729</f>
        <v>130298.7</v>
      </c>
      <c r="G752" s="401">
        <f t="shared" si="124"/>
        <v>1029</v>
      </c>
      <c r="H752" s="401">
        <f t="shared" si="124"/>
        <v>0</v>
      </c>
      <c r="I752" s="401">
        <f t="shared" si="124"/>
        <v>1029</v>
      </c>
      <c r="J752" s="582">
        <f t="shared" si="124"/>
        <v>128443.953</v>
      </c>
      <c r="K752" s="401">
        <f t="shared" si="124"/>
        <v>0</v>
      </c>
      <c r="L752" s="650"/>
      <c r="M752" s="651"/>
      <c r="N752" s="295"/>
    </row>
    <row r="753" spans="1:14" ht="26.25" customHeight="1">
      <c r="A753" s="648"/>
      <c r="B753" s="649"/>
      <c r="C753" s="400"/>
      <c r="D753" s="298">
        <v>2018</v>
      </c>
      <c r="E753" s="401">
        <f>F753+G753+J753+K753</f>
        <v>256780.11129000003</v>
      </c>
      <c r="F753" s="401">
        <f aca="true" t="shared" si="125" ref="F753:H755">F267+F538+F679+F691+F730</f>
        <v>143448.1</v>
      </c>
      <c r="G753" s="401">
        <f t="shared" si="125"/>
        <v>1296.482</v>
      </c>
      <c r="H753" s="401">
        <f t="shared" si="125"/>
        <v>0</v>
      </c>
      <c r="I753" s="401">
        <f>I730+I691+I679+I538+I267</f>
        <v>1296.4820000000002</v>
      </c>
      <c r="J753" s="582">
        <f>J730+J691+J679+J538+J267</f>
        <v>112035.52929000002</v>
      </c>
      <c r="K753" s="401">
        <f>K267+K538+K679+K691+K730</f>
        <v>0</v>
      </c>
      <c r="L753" s="650"/>
      <c r="M753" s="651"/>
      <c r="N753" s="295"/>
    </row>
    <row r="754" spans="1:14" ht="22.5" customHeight="1">
      <c r="A754" s="648"/>
      <c r="B754" s="649"/>
      <c r="C754" s="400"/>
      <c r="D754" s="298">
        <v>2019</v>
      </c>
      <c r="E754" s="401">
        <f>E268+E539+E680+E692+E731</f>
        <v>275089.70717</v>
      </c>
      <c r="F754" s="401">
        <f t="shared" si="125"/>
        <v>157111.4</v>
      </c>
      <c r="G754" s="401">
        <f t="shared" si="125"/>
        <v>3765.852</v>
      </c>
      <c r="H754" s="401">
        <f t="shared" si="125"/>
        <v>0</v>
      </c>
      <c r="I754" s="401">
        <f>I268+I539+I680+I692+I731</f>
        <v>3765.852</v>
      </c>
      <c r="J754" s="582">
        <f>J268+J539+J680+J692+J731</f>
        <v>114212.45517000003</v>
      </c>
      <c r="K754" s="401">
        <f>K268+K539+K680+K692+K731</f>
        <v>0</v>
      </c>
      <c r="L754" s="650"/>
      <c r="M754" s="651"/>
      <c r="N754" s="295"/>
    </row>
    <row r="755" spans="1:14" ht="24" customHeight="1">
      <c r="A755" s="648"/>
      <c r="B755" s="649"/>
      <c r="C755" s="400"/>
      <c r="D755" s="298">
        <v>2020</v>
      </c>
      <c r="E755" s="401">
        <f>E269+E540+E681+E693+E732</f>
        <v>274920.2059</v>
      </c>
      <c r="F755" s="401">
        <f t="shared" si="125"/>
        <v>156504.2</v>
      </c>
      <c r="G755" s="401">
        <f t="shared" si="125"/>
        <v>7019.299999999999</v>
      </c>
      <c r="H755" s="401">
        <f t="shared" si="125"/>
        <v>3073.8</v>
      </c>
      <c r="I755" s="401">
        <f>I269+I540+I681+I693+I732</f>
        <v>3945.5</v>
      </c>
      <c r="J755" s="582">
        <f>J269+J540+J681+J693+J732</f>
        <v>111396.7059</v>
      </c>
      <c r="K755" s="401">
        <f>K269+K540+K681+K693+K732</f>
        <v>0</v>
      </c>
      <c r="L755" s="650"/>
      <c r="M755" s="651"/>
      <c r="N755" s="295"/>
    </row>
    <row r="756" spans="1:14" ht="24" customHeight="1">
      <c r="A756" s="648"/>
      <c r="B756" s="649"/>
      <c r="C756" s="400"/>
      <c r="D756" s="298">
        <v>2021</v>
      </c>
      <c r="E756" s="401">
        <f aca="true" t="shared" si="126" ref="E756:K756">E270+E541+E682+E694+E733+E746</f>
        <v>287987.19265</v>
      </c>
      <c r="F756" s="401">
        <f t="shared" si="126"/>
        <v>163731.4</v>
      </c>
      <c r="G756" s="401">
        <f t="shared" si="126"/>
        <v>15025.72</v>
      </c>
      <c r="H756" s="401">
        <f t="shared" si="126"/>
        <v>12507.9</v>
      </c>
      <c r="I756" s="401">
        <f t="shared" si="126"/>
        <v>2517.8199999999997</v>
      </c>
      <c r="J756" s="582">
        <f t="shared" si="126"/>
        <v>109230.07264999999</v>
      </c>
      <c r="K756" s="401">
        <f t="shared" si="126"/>
        <v>0</v>
      </c>
      <c r="L756" s="650"/>
      <c r="M756" s="651"/>
      <c r="N756" s="295"/>
    </row>
    <row r="757" spans="1:14" ht="27" customHeight="1">
      <c r="A757" s="648"/>
      <c r="B757" s="649"/>
      <c r="C757" s="400"/>
      <c r="D757" s="298">
        <v>2022</v>
      </c>
      <c r="E757" s="401">
        <f aca="true" t="shared" si="127" ref="E757:J757">E271+E542+E683+E695+E734+E747</f>
        <v>297762.65631</v>
      </c>
      <c r="F757" s="401">
        <f t="shared" si="127"/>
        <v>175941.30000000002</v>
      </c>
      <c r="G757" s="401">
        <f t="shared" si="127"/>
        <v>10188.419</v>
      </c>
      <c r="H757" s="401">
        <f t="shared" si="127"/>
        <v>6340.799999999999</v>
      </c>
      <c r="I757" s="401">
        <f t="shared" si="127"/>
        <v>3847.6189999999997</v>
      </c>
      <c r="J757" s="582">
        <f t="shared" si="127"/>
        <v>111632.93730999998</v>
      </c>
      <c r="K757" s="401">
        <f>K271+K542+K683+K695+K734</f>
        <v>0</v>
      </c>
      <c r="L757" s="650"/>
      <c r="M757" s="651"/>
      <c r="N757" s="333"/>
    </row>
    <row r="758" spans="1:14" ht="25.5" customHeight="1" hidden="1">
      <c r="A758" s="648"/>
      <c r="B758" s="649"/>
      <c r="C758" s="400"/>
      <c r="D758" s="402"/>
      <c r="E758" s="403"/>
      <c r="F758" s="404"/>
      <c r="G758" s="404"/>
      <c r="H758" s="405"/>
      <c r="I758" s="406"/>
      <c r="J758" s="582">
        <f>J274+J544+J684+J697+J735</f>
        <v>125351.254</v>
      </c>
      <c r="K758" s="405"/>
      <c r="L758" s="650"/>
      <c r="M758" s="651"/>
      <c r="N758" s="295"/>
    </row>
    <row r="759" spans="1:14" ht="25.5" customHeight="1" hidden="1">
      <c r="A759" s="648"/>
      <c r="B759" s="649"/>
      <c r="C759" s="400"/>
      <c r="D759" s="402"/>
      <c r="E759" s="403"/>
      <c r="F759" s="407"/>
      <c r="G759" s="407"/>
      <c r="H759" s="406"/>
      <c r="I759" s="408"/>
      <c r="J759" s="582" t="e">
        <f>J275+J546+J687+J699+#REF!</f>
        <v>#REF!</v>
      </c>
      <c r="K759" s="406"/>
      <c r="L759" s="650"/>
      <c r="M759" s="651"/>
      <c r="N759" s="295"/>
    </row>
    <row r="760" spans="1:14" ht="15.75" customHeight="1" hidden="1">
      <c r="A760" s="648"/>
      <c r="B760" s="649"/>
      <c r="C760" s="400"/>
      <c r="D760" s="402"/>
      <c r="E760" s="403"/>
      <c r="F760" s="407"/>
      <c r="G760" s="407"/>
      <c r="H760" s="406"/>
      <c r="I760" s="406"/>
      <c r="J760" s="582">
        <f aca="true" t="shared" si="128" ref="J760:J767">J276+J547+J688+J700+J751</f>
        <v>1080387.23332</v>
      </c>
      <c r="K760" s="406"/>
      <c r="L760" s="650"/>
      <c r="M760" s="651"/>
      <c r="N760" s="295"/>
    </row>
    <row r="761" spans="1:14" ht="24.75" customHeight="1" hidden="1">
      <c r="A761" s="648"/>
      <c r="B761" s="649"/>
      <c r="C761" s="400"/>
      <c r="D761" s="402"/>
      <c r="E761" s="403"/>
      <c r="F761" s="407"/>
      <c r="G761" s="407"/>
      <c r="H761" s="406"/>
      <c r="I761" s="409"/>
      <c r="J761" s="582">
        <f t="shared" si="128"/>
        <v>128443.953</v>
      </c>
      <c r="K761" s="406"/>
      <c r="L761" s="650"/>
      <c r="M761" s="651"/>
      <c r="N761" s="295"/>
    </row>
    <row r="762" spans="1:14" ht="13.5" customHeight="1" hidden="1">
      <c r="A762" s="648"/>
      <c r="B762" s="649"/>
      <c r="C762" s="400"/>
      <c r="D762" s="402"/>
      <c r="E762" s="403"/>
      <c r="F762" s="407"/>
      <c r="G762" s="407"/>
      <c r="H762" s="406"/>
      <c r="I762" s="406"/>
      <c r="J762" s="582">
        <f t="shared" si="128"/>
        <v>194534.05629000004</v>
      </c>
      <c r="K762" s="406"/>
      <c r="L762" s="650"/>
      <c r="M762" s="651"/>
      <c r="N762" s="295"/>
    </row>
    <row r="763" spans="1:14" ht="27.75" customHeight="1" hidden="1">
      <c r="A763" s="648"/>
      <c r="B763" s="649"/>
      <c r="C763" s="400"/>
      <c r="D763" s="402"/>
      <c r="E763" s="403"/>
      <c r="F763" s="407"/>
      <c r="G763" s="407"/>
      <c r="H763" s="406"/>
      <c r="I763" s="406"/>
      <c r="J763" s="582">
        <f t="shared" si="128"/>
        <v>148066.61367000002</v>
      </c>
      <c r="K763" s="406"/>
      <c r="L763" s="650"/>
      <c r="M763" s="651"/>
      <c r="N763" s="295"/>
    </row>
    <row r="764" spans="1:14" ht="18.75" customHeight="1" hidden="1">
      <c r="A764" s="648"/>
      <c r="B764" s="649"/>
      <c r="C764" s="400"/>
      <c r="D764" s="402"/>
      <c r="E764" s="403"/>
      <c r="F764" s="407"/>
      <c r="G764" s="407"/>
      <c r="H764" s="406"/>
      <c r="I764" s="406"/>
      <c r="J764" s="582">
        <f t="shared" si="128"/>
        <v>151132.50723</v>
      </c>
      <c r="K764" s="406"/>
      <c r="L764" s="650"/>
      <c r="M764" s="651"/>
      <c r="N764" s="295"/>
    </row>
    <row r="765" spans="1:14" ht="18.75" customHeight="1" hidden="1">
      <c r="A765" s="648"/>
      <c r="B765" s="649"/>
      <c r="C765" s="400"/>
      <c r="D765" s="402"/>
      <c r="E765" s="403"/>
      <c r="F765" s="407"/>
      <c r="G765" s="407"/>
      <c r="H765" s="406"/>
      <c r="I765" s="406"/>
      <c r="J765" s="582">
        <f t="shared" si="128"/>
        <v>160039.01565</v>
      </c>
      <c r="K765" s="406"/>
      <c r="L765" s="650"/>
      <c r="M765" s="651"/>
      <c r="N765" s="295"/>
    </row>
    <row r="766" spans="1:14" ht="27" customHeight="1" hidden="1">
      <c r="A766" s="648"/>
      <c r="B766" s="649"/>
      <c r="C766" s="400"/>
      <c r="D766" s="402"/>
      <c r="E766" s="403"/>
      <c r="F766" s="407"/>
      <c r="G766" s="407"/>
      <c r="H766" s="406"/>
      <c r="I766" s="406"/>
      <c r="J766" s="582">
        <f t="shared" si="128"/>
        <v>122595.06542999997</v>
      </c>
      <c r="K766" s="406"/>
      <c r="L766" s="650"/>
      <c r="M766" s="651"/>
      <c r="N766" s="295"/>
    </row>
    <row r="767" spans="1:14" ht="22.5" customHeight="1" hidden="1">
      <c r="A767" s="648"/>
      <c r="B767" s="649"/>
      <c r="C767" s="400"/>
      <c r="D767" s="402"/>
      <c r="E767" s="403"/>
      <c r="F767" s="410"/>
      <c r="G767" s="410"/>
      <c r="H767" s="406"/>
      <c r="I767" s="406"/>
      <c r="J767" s="582">
        <f t="shared" si="128"/>
        <v>145607.57418</v>
      </c>
      <c r="K767" s="406"/>
      <c r="L767" s="650"/>
      <c r="M767" s="651"/>
      <c r="N767" s="295"/>
    </row>
    <row r="768" spans="1:14" ht="18" customHeight="1" hidden="1">
      <c r="A768" s="648"/>
      <c r="B768" s="649"/>
      <c r="C768" s="400"/>
      <c r="D768" s="411"/>
      <c r="E768" s="403"/>
      <c r="F768" s="406"/>
      <c r="G768" s="406"/>
      <c r="H768" s="406"/>
      <c r="I768" s="406"/>
      <c r="J768" s="582" t="e">
        <f>J284+J555+J697+J708+J759</f>
        <v>#REF!</v>
      </c>
      <c r="K768" s="406"/>
      <c r="L768" s="650"/>
      <c r="M768" s="651"/>
      <c r="N768" s="295"/>
    </row>
    <row r="769" spans="1:14" ht="22.5" customHeight="1" hidden="1">
      <c r="A769" s="648"/>
      <c r="B769" s="649"/>
      <c r="C769" s="400"/>
      <c r="D769" s="406"/>
      <c r="E769" s="403"/>
      <c r="F769" s="406"/>
      <c r="G769" s="406"/>
      <c r="H769" s="406"/>
      <c r="I769" s="406"/>
      <c r="J769" s="582">
        <f>J285+J556+J699+J711+J760</f>
        <v>1092250.51832</v>
      </c>
      <c r="K769" s="406"/>
      <c r="L769" s="650"/>
      <c r="M769" s="651"/>
      <c r="N769" s="295"/>
    </row>
    <row r="770" spans="1:14" ht="27" customHeight="1">
      <c r="A770" s="648"/>
      <c r="B770" s="649"/>
      <c r="C770" s="400"/>
      <c r="D770" s="412">
        <v>2023</v>
      </c>
      <c r="E770" s="401">
        <f aca="true" t="shared" si="129" ref="E770:K770">E272+E543+E684+E696+E734+E748</f>
        <v>314535.7700000001</v>
      </c>
      <c r="F770" s="401">
        <f t="shared" si="129"/>
        <v>167025.7</v>
      </c>
      <c r="G770" s="401">
        <f t="shared" si="129"/>
        <v>9451.8</v>
      </c>
      <c r="H770" s="401">
        <f t="shared" si="129"/>
        <v>6093.299999999999</v>
      </c>
      <c r="I770" s="401">
        <f t="shared" si="129"/>
        <v>3358.5</v>
      </c>
      <c r="J770" s="582">
        <f t="shared" si="129"/>
        <v>138058.27</v>
      </c>
      <c r="K770" s="401">
        <f t="shared" si="129"/>
        <v>0</v>
      </c>
      <c r="L770" s="650"/>
      <c r="M770" s="651"/>
      <c r="N770" s="295"/>
    </row>
    <row r="771" spans="1:14" ht="27" customHeight="1">
      <c r="A771" s="648"/>
      <c r="B771" s="649"/>
      <c r="C771" s="400"/>
      <c r="D771" s="412">
        <v>2024</v>
      </c>
      <c r="E771" s="401">
        <f aca="true" t="shared" si="130" ref="E771:J772">E736+E697+E685+E544+E273+E749</f>
        <v>303623.4430000001</v>
      </c>
      <c r="F771" s="401">
        <f t="shared" si="130"/>
        <v>167047</v>
      </c>
      <c r="G771" s="401">
        <f t="shared" si="130"/>
        <v>9373.7</v>
      </c>
      <c r="H771" s="401">
        <f t="shared" si="130"/>
        <v>6015.2</v>
      </c>
      <c r="I771" s="401">
        <f t="shared" si="130"/>
        <v>3358.5</v>
      </c>
      <c r="J771" s="582">
        <f t="shared" si="130"/>
        <v>127202.74300000002</v>
      </c>
      <c r="K771" s="401">
        <f>K736+K697+K685+K544+K274+K749</f>
        <v>0</v>
      </c>
      <c r="L771" s="242"/>
      <c r="M771" s="301"/>
      <c r="N771" s="295"/>
    </row>
    <row r="772" spans="1:14" ht="27" customHeight="1">
      <c r="A772" s="399"/>
      <c r="B772" s="400"/>
      <c r="C772" s="400"/>
      <c r="D772" s="412">
        <v>2025</v>
      </c>
      <c r="E772" s="401">
        <f t="shared" si="130"/>
        <v>302947.26700000005</v>
      </c>
      <c r="F772" s="401">
        <f t="shared" si="130"/>
        <v>167047</v>
      </c>
      <c r="G772" s="401">
        <f t="shared" si="130"/>
        <v>7725.7</v>
      </c>
      <c r="H772" s="401">
        <f t="shared" si="130"/>
        <v>6015.2</v>
      </c>
      <c r="I772" s="401">
        <f t="shared" si="130"/>
        <v>1710.5</v>
      </c>
      <c r="J772" s="582">
        <f t="shared" si="130"/>
        <v>128174.567</v>
      </c>
      <c r="K772" s="401">
        <f>K738+K698+K687+K546+K275+K750</f>
        <v>0</v>
      </c>
      <c r="L772" s="242"/>
      <c r="M772" s="301"/>
      <c r="N772" s="295"/>
    </row>
    <row r="773" spans="2:13" ht="21" customHeight="1">
      <c r="B773" s="77"/>
      <c r="C773" s="78"/>
      <c r="E773" s="79"/>
      <c r="F773" s="80"/>
      <c r="G773" s="80"/>
      <c r="I773" s="81"/>
      <c r="M773" s="334"/>
    </row>
    <row r="774" spans="2:7" ht="21" customHeight="1">
      <c r="B774" s="77"/>
      <c r="C774" s="78"/>
      <c r="D774" s="82"/>
      <c r="E774" s="83"/>
      <c r="F774" s="84"/>
      <c r="G774" s="84"/>
    </row>
    <row r="777" ht="20.25">
      <c r="G777" s="7"/>
    </row>
    <row r="779" ht="23.25">
      <c r="G779" s="245"/>
    </row>
  </sheetData>
  <sheetProtection selectLockedCells="1" selectUnlockedCells="1"/>
  <mergeCells count="279">
    <mergeCell ref="B66:C74"/>
    <mergeCell ref="A90:A99"/>
    <mergeCell ref="B90:C99"/>
    <mergeCell ref="A100:A108"/>
    <mergeCell ref="B100:C108"/>
    <mergeCell ref="B477:B478"/>
    <mergeCell ref="L417:L420"/>
    <mergeCell ref="L411:L414"/>
    <mergeCell ref="D237:D239"/>
    <mergeCell ref="E237:E239"/>
    <mergeCell ref="D234:D235"/>
    <mergeCell ref="E234:E235"/>
    <mergeCell ref="A275:M275"/>
    <mergeCell ref="A276:M276"/>
    <mergeCell ref="A277:M277"/>
    <mergeCell ref="M125:M239"/>
    <mergeCell ref="J1:M1"/>
    <mergeCell ref="J2:M2"/>
    <mergeCell ref="B3:L3"/>
    <mergeCell ref="A5:A9"/>
    <mergeCell ref="B5:C9"/>
    <mergeCell ref="L5:L9"/>
    <mergeCell ref="G6:J6"/>
    <mergeCell ref="J7:J9"/>
    <mergeCell ref="B10:C10"/>
    <mergeCell ref="B15:B22"/>
    <mergeCell ref="M15:M24"/>
    <mergeCell ref="G7:I7"/>
    <mergeCell ref="D227:D232"/>
    <mergeCell ref="E227:E232"/>
    <mergeCell ref="E5:E9"/>
    <mergeCell ref="A14:M14"/>
    <mergeCell ref="A125:A194"/>
    <mergeCell ref="H8:I8"/>
    <mergeCell ref="A15:A22"/>
    <mergeCell ref="A25:A29"/>
    <mergeCell ref="A11:M11"/>
    <mergeCell ref="A12:M12"/>
    <mergeCell ref="A23:A24"/>
    <mergeCell ref="B23:B24"/>
    <mergeCell ref="B43:B44"/>
    <mergeCell ref="F5:J5"/>
    <mergeCell ref="K5:K9"/>
    <mergeCell ref="D5:D9"/>
    <mergeCell ref="M5:M9"/>
    <mergeCell ref="F6:F9"/>
    <mergeCell ref="B25:B29"/>
    <mergeCell ref="M25:M28"/>
    <mergeCell ref="A13:M13"/>
    <mergeCell ref="G8:G9"/>
    <mergeCell ref="B50:C56"/>
    <mergeCell ref="M30:M31"/>
    <mergeCell ref="A33:A35"/>
    <mergeCell ref="B33:B35"/>
    <mergeCell ref="M33:M42"/>
    <mergeCell ref="H50:H51"/>
    <mergeCell ref="I50:I51"/>
    <mergeCell ref="A30:A32"/>
    <mergeCell ref="B30:B32"/>
    <mergeCell ref="A43:A44"/>
    <mergeCell ref="L50:L51"/>
    <mergeCell ref="M50:M55"/>
    <mergeCell ref="A75:A76"/>
    <mergeCell ref="B75:C76"/>
    <mergeCell ref="B45:B48"/>
    <mergeCell ref="A50:A56"/>
    <mergeCell ref="B57:C65"/>
    <mergeCell ref="A45:A48"/>
    <mergeCell ref="A57:A65"/>
    <mergeCell ref="M66:M71"/>
    <mergeCell ref="F91:F92"/>
    <mergeCell ref="G91:G92"/>
    <mergeCell ref="D50:D51"/>
    <mergeCell ref="J50:J51"/>
    <mergeCell ref="K50:K51"/>
    <mergeCell ref="E50:E51"/>
    <mergeCell ref="F50:F51"/>
    <mergeCell ref="G50:G51"/>
    <mergeCell ref="K91:K92"/>
    <mergeCell ref="L91:L92"/>
    <mergeCell ref="M100:M105"/>
    <mergeCell ref="A84:A89"/>
    <mergeCell ref="B84:C89"/>
    <mergeCell ref="A77:A83"/>
    <mergeCell ref="B77:C83"/>
    <mergeCell ref="M84:M89"/>
    <mergeCell ref="M90:M93"/>
    <mergeCell ref="D91:D92"/>
    <mergeCell ref="E91:E92"/>
    <mergeCell ref="H109:H110"/>
    <mergeCell ref="I109:I110"/>
    <mergeCell ref="H91:H92"/>
    <mergeCell ref="I91:I92"/>
    <mergeCell ref="J91:J92"/>
    <mergeCell ref="J109:J110"/>
    <mergeCell ref="K109:K110"/>
    <mergeCell ref="L109:L110"/>
    <mergeCell ref="M109:M115"/>
    <mergeCell ref="A119:A123"/>
    <mergeCell ref="B119:C123"/>
    <mergeCell ref="M119:M123"/>
    <mergeCell ref="D109:D110"/>
    <mergeCell ref="E109:E110"/>
    <mergeCell ref="F109:F110"/>
    <mergeCell ref="G109:G110"/>
    <mergeCell ref="D125:D131"/>
    <mergeCell ref="E125:E131"/>
    <mergeCell ref="A109:A118"/>
    <mergeCell ref="B109:C118"/>
    <mergeCell ref="B125:C194"/>
    <mergeCell ref="D132:D139"/>
    <mergeCell ref="E132:E139"/>
    <mergeCell ref="D140:D147"/>
    <mergeCell ref="E140:E147"/>
    <mergeCell ref="D148:D155"/>
    <mergeCell ref="E148:E155"/>
    <mergeCell ref="D156:D164"/>
    <mergeCell ref="E156:E164"/>
    <mergeCell ref="D165:D172"/>
    <mergeCell ref="E166:E172"/>
    <mergeCell ref="D173:D179"/>
    <mergeCell ref="E174:E179"/>
    <mergeCell ref="A195:A239"/>
    <mergeCell ref="B195:C239"/>
    <mergeCell ref="D195:D201"/>
    <mergeCell ref="E195:E201"/>
    <mergeCell ref="D202:D209"/>
    <mergeCell ref="E202:E209"/>
    <mergeCell ref="D210:D217"/>
    <mergeCell ref="E210:E217"/>
    <mergeCell ref="D218:D225"/>
    <mergeCell ref="E218:E225"/>
    <mergeCell ref="A240:A246"/>
    <mergeCell ref="B240:C246"/>
    <mergeCell ref="M240:M245"/>
    <mergeCell ref="B247:C247"/>
    <mergeCell ref="B248:C248"/>
    <mergeCell ref="B249:C251"/>
    <mergeCell ref="A249:A251"/>
    <mergeCell ref="B252:C252"/>
    <mergeCell ref="B253:C253"/>
    <mergeCell ref="A254:A264"/>
    <mergeCell ref="B254:C264"/>
    <mergeCell ref="M255:M264"/>
    <mergeCell ref="A266:A274"/>
    <mergeCell ref="B266:C274"/>
    <mergeCell ref="M266:M274"/>
    <mergeCell ref="B265:C265"/>
    <mergeCell ref="A278:M278"/>
    <mergeCell ref="A279:A430"/>
    <mergeCell ref="B279:B311"/>
    <mergeCell ref="M279:M437"/>
    <mergeCell ref="L282:L287"/>
    <mergeCell ref="B312:B321"/>
    <mergeCell ref="C323:C326"/>
    <mergeCell ref="L323:L324"/>
    <mergeCell ref="L325:L326"/>
    <mergeCell ref="C327:C330"/>
    <mergeCell ref="L327:L330"/>
    <mergeCell ref="C331:C340"/>
    <mergeCell ref="L331:L340"/>
    <mergeCell ref="C341:C342"/>
    <mergeCell ref="L341:L342"/>
    <mergeCell ref="C343:C348"/>
    <mergeCell ref="L343:L347"/>
    <mergeCell ref="C349:C354"/>
    <mergeCell ref="L349:L354"/>
    <mergeCell ref="C355:C362"/>
    <mergeCell ref="L358:L362"/>
    <mergeCell ref="C363:C364"/>
    <mergeCell ref="L363:L364"/>
    <mergeCell ref="C366:C370"/>
    <mergeCell ref="L366:L369"/>
    <mergeCell ref="L372:L374"/>
    <mergeCell ref="N372:N374"/>
    <mergeCell ref="L375:L376"/>
    <mergeCell ref="L382:L383"/>
    <mergeCell ref="L384:L387"/>
    <mergeCell ref="L394:L401"/>
    <mergeCell ref="L377:L381"/>
    <mergeCell ref="B428:B431"/>
    <mergeCell ref="A431:A432"/>
    <mergeCell ref="D431:D432"/>
    <mergeCell ref="B432:B433"/>
    <mergeCell ref="A433:A434"/>
    <mergeCell ref="D433:D434"/>
    <mergeCell ref="L423:L426"/>
    <mergeCell ref="B434:B435"/>
    <mergeCell ref="A435:A437"/>
    <mergeCell ref="D435:D437"/>
    <mergeCell ref="L435:L436"/>
    <mergeCell ref="B436:B438"/>
    <mergeCell ref="A438:A463"/>
    <mergeCell ref="M438:M445"/>
    <mergeCell ref="B439:B453"/>
    <mergeCell ref="M446:M463"/>
    <mergeCell ref="C454:C456"/>
    <mergeCell ref="L454:L456"/>
    <mergeCell ref="C457:C458"/>
    <mergeCell ref="L457:L458"/>
    <mergeCell ref="A464:A468"/>
    <mergeCell ref="B465:B469"/>
    <mergeCell ref="A469:A470"/>
    <mergeCell ref="M469:M470"/>
    <mergeCell ref="M472:M473"/>
    <mergeCell ref="A473:A475"/>
    <mergeCell ref="M480:M481"/>
    <mergeCell ref="A482:A484"/>
    <mergeCell ref="B483:B484"/>
    <mergeCell ref="A488:A491"/>
    <mergeCell ref="B488:B491"/>
    <mergeCell ref="A493:A498"/>
    <mergeCell ref="B493:B516"/>
    <mergeCell ref="A521:A524"/>
    <mergeCell ref="B523:B524"/>
    <mergeCell ref="B526:B532"/>
    <mergeCell ref="B534:B536"/>
    <mergeCell ref="A537:A544"/>
    <mergeCell ref="B537:B544"/>
    <mergeCell ref="A546:D546"/>
    <mergeCell ref="A549:A558"/>
    <mergeCell ref="B549:B550"/>
    <mergeCell ref="M549:M619"/>
    <mergeCell ref="A560:A632"/>
    <mergeCell ref="B560:B632"/>
    <mergeCell ref="D560:D567"/>
    <mergeCell ref="D568:D573"/>
    <mergeCell ref="D574:D583"/>
    <mergeCell ref="D584:D593"/>
    <mergeCell ref="M620:M632"/>
    <mergeCell ref="A633:A644"/>
    <mergeCell ref="B633:B644"/>
    <mergeCell ref="A660:A674"/>
    <mergeCell ref="B660:B674"/>
    <mergeCell ref="M660:M674"/>
    <mergeCell ref="A645:A658"/>
    <mergeCell ref="C645:C658"/>
    <mergeCell ref="A678:A685"/>
    <mergeCell ref="B678:B685"/>
    <mergeCell ref="L678:L685"/>
    <mergeCell ref="M678:M685"/>
    <mergeCell ref="A687:J687"/>
    <mergeCell ref="A690:A697"/>
    <mergeCell ref="B690:B697"/>
    <mergeCell ref="M690:M697"/>
    <mergeCell ref="A699:H699"/>
    <mergeCell ref="I699:M699"/>
    <mergeCell ref="A700:H700"/>
    <mergeCell ref="A701:F701"/>
    <mergeCell ref="A702:A709"/>
    <mergeCell ref="B702:B709"/>
    <mergeCell ref="M702:M708"/>
    <mergeCell ref="L741:L745"/>
    <mergeCell ref="A711:A718"/>
    <mergeCell ref="B711:B718"/>
    <mergeCell ref="M711:M717"/>
    <mergeCell ref="A720:A727"/>
    <mergeCell ref="B720:B727"/>
    <mergeCell ref="M720:M726"/>
    <mergeCell ref="A66:A74"/>
    <mergeCell ref="B746:B749"/>
    <mergeCell ref="L746:L748"/>
    <mergeCell ref="M746:M748"/>
    <mergeCell ref="A729:A736"/>
    <mergeCell ref="B729:B736"/>
    <mergeCell ref="L729:L735"/>
    <mergeCell ref="M729:M735"/>
    <mergeCell ref="A738:F738"/>
    <mergeCell ref="A739:F739"/>
    <mergeCell ref="C405:C407"/>
    <mergeCell ref="O33:O42"/>
    <mergeCell ref="A751:A771"/>
    <mergeCell ref="B751:B771"/>
    <mergeCell ref="L751:L770"/>
    <mergeCell ref="M751:M770"/>
    <mergeCell ref="A741:A743"/>
    <mergeCell ref="B741:B743"/>
    <mergeCell ref="M741:M743"/>
    <mergeCell ref="A746:A749"/>
  </mergeCells>
  <conditionalFormatting sqref="B402:B403 J402:J409">
    <cfRule type="cellIs" priority="5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37" r:id="rId3"/>
  <rowBreaks count="1" manualBreakCount="1">
    <brk id="719" max="12" man="1"/>
  </rowBreaks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retivova_vyu</cp:lastModifiedBy>
  <cp:lastPrinted>2022-12-29T08:56:56Z</cp:lastPrinted>
  <dcterms:modified xsi:type="dcterms:W3CDTF">2022-12-30T06:27:07Z</dcterms:modified>
  <cp:category/>
  <cp:version/>
  <cp:contentType/>
  <cp:contentStatus/>
</cp:coreProperties>
</file>